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84A0EC3F-51A4-4A96-8D83-4E99C0658E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nexure A" sheetId="14" r:id="rId1"/>
    <sheet name="Skin Friction-Sand" sheetId="26" state="hidden" r:id="rId2"/>
    <sheet name="Load calculation" sheetId="17" r:id="rId3"/>
    <sheet name="Unit weight MSand" sheetId="32" state="hidden" r:id="rId4"/>
    <sheet name="Skin Friction" sheetId="30" r:id="rId5"/>
    <sheet name="Skin Friction-Sand with SDR" sheetId="27" state="hidden" r:id="rId6"/>
    <sheet name="Cross Beam" sheetId="31" r:id="rId7"/>
    <sheet name="Main Beam-Section ISHB 900" sheetId="29" state="hidden" r:id="rId8"/>
    <sheet name="Main Beam" sheetId="18" r:id="rId9"/>
    <sheet name="Kentledge " sheetId="20" r:id="rId10"/>
    <sheet name="Pile location" sheetId="21" r:id="rId11"/>
    <sheet name="Details" sheetId="28" r:id="rId12"/>
    <sheet name="Pile driven" sheetId="23" r:id="rId13"/>
  </sheets>
  <definedNames>
    <definedName name="_xlnm.Print_Area" localSheetId="0">'Annexure A'!$A$1:$G$95</definedName>
    <definedName name="_xlnm.Print_Area" localSheetId="6">'Cross Beam'!$A$1:$L$42</definedName>
    <definedName name="_xlnm.Print_Area" localSheetId="9">'Kentledge '!$A$1:$P$47</definedName>
    <definedName name="_xlnm.Print_Area" localSheetId="2">'Load calculation'!$A$1:$L$361</definedName>
    <definedName name="_xlnm.Print_Area" localSheetId="8">'Main Beam'!$A$1:$M$93</definedName>
    <definedName name="_xlnm.Print_Area" localSheetId="7">'Main Beam-Section ISHB 900'!$A$1:$L$53</definedName>
    <definedName name="_xlnm.Print_Area" localSheetId="12">'Pile driven'!$A$1:$N$29</definedName>
    <definedName name="_xlnm.Print_Area" localSheetId="10">'Pile location'!$A$2:$P$23</definedName>
    <definedName name="_xlnm.Print_Area" localSheetId="4">'Skin Friction'!$A$1:$V$33</definedName>
    <definedName name="_xlnm.Print_Area" localSheetId="1">'Skin Friction-Sand'!$A$1:$T$30</definedName>
    <definedName name="_xlnm.Print_Area" localSheetId="5">'Skin Friction-Sand with SDR'!$A$1:$T$26</definedName>
  </definedNames>
  <calcPr calcId="191029"/>
</workbook>
</file>

<file path=xl/calcChain.xml><?xml version="1.0" encoding="utf-8"?>
<calcChain xmlns="http://schemas.openxmlformats.org/spreadsheetml/2006/main">
  <c r="G23" i="30" l="1"/>
  <c r="G22" i="30"/>
  <c r="G21" i="30"/>
  <c r="G20" i="30"/>
  <c r="H31" i="20" l="1"/>
  <c r="H30" i="20"/>
  <c r="H29" i="20"/>
  <c r="H28" i="20"/>
  <c r="D12" i="23"/>
  <c r="M27" i="18" l="1"/>
  <c r="M25" i="18"/>
  <c r="L101" i="17" l="1"/>
  <c r="H59" i="17" l="1"/>
  <c r="H58" i="17"/>
  <c r="H57" i="17"/>
  <c r="H56" i="17"/>
  <c r="H60" i="17" s="1"/>
  <c r="E61" i="17" s="1"/>
  <c r="I61" i="17" s="1"/>
  <c r="L14" i="30" l="1"/>
  <c r="N23" i="30" l="1"/>
  <c r="D14" i="30"/>
  <c r="L13" i="30" s="1"/>
  <c r="E36" i="18" l="1"/>
  <c r="E35" i="18"/>
  <c r="D5" i="17" l="1"/>
  <c r="N21" i="30"/>
  <c r="N22" i="30"/>
  <c r="N20" i="30"/>
  <c r="B21" i="30" l="1"/>
  <c r="T21" i="30" s="1"/>
  <c r="L12" i="30"/>
  <c r="B20" i="30" s="1"/>
  <c r="R20" i="30" s="1"/>
  <c r="L11" i="30"/>
  <c r="T12" i="30" l="1"/>
  <c r="R21" i="30"/>
  <c r="Q21" i="30"/>
  <c r="S21" i="30" s="1"/>
  <c r="V21" i="30" s="1"/>
  <c r="K6" i="14"/>
  <c r="M6" i="14" s="1"/>
  <c r="N36" i="14"/>
  <c r="D11" i="23"/>
  <c r="Z19" i="17"/>
  <c r="Z17" i="17"/>
  <c r="Z16" i="17"/>
  <c r="K12" i="14"/>
  <c r="Z21" i="17" l="1"/>
  <c r="T13" i="30"/>
  <c r="Q22" i="30"/>
  <c r="J81" i="17"/>
  <c r="J221" i="17"/>
  <c r="J166" i="17"/>
  <c r="P226" i="17" l="1"/>
  <c r="P52" i="17"/>
  <c r="O52" i="17"/>
  <c r="N52" i="17"/>
  <c r="N34" i="17"/>
  <c r="N35" i="17" s="1"/>
  <c r="R32" i="17"/>
  <c r="R25" i="17"/>
  <c r="R24" i="17"/>
  <c r="N64" i="17" l="1"/>
  <c r="R26" i="17"/>
  <c r="S26" i="17" s="1"/>
  <c r="A3" i="31"/>
  <c r="D14" i="23"/>
  <c r="J12" i="14"/>
  <c r="F41" i="17"/>
  <c r="I25" i="18"/>
  <c r="I27" i="18" s="1"/>
  <c r="D25" i="18"/>
  <c r="D27" i="18" s="1"/>
  <c r="J28" i="18" s="1"/>
  <c r="I23" i="18"/>
  <c r="D23" i="18"/>
  <c r="Q41" i="18"/>
  <c r="Q28" i="18"/>
  <c r="S28" i="18" s="1"/>
  <c r="H111" i="17" l="1"/>
  <c r="C13" i="18" l="1"/>
  <c r="C12" i="18" l="1"/>
  <c r="C10" i="18"/>
  <c r="C9" i="18"/>
  <c r="C7" i="18"/>
  <c r="T27" i="18" l="1"/>
  <c r="E32" i="18"/>
  <c r="H115" i="17" s="1"/>
  <c r="E31" i="18"/>
  <c r="L15" i="14"/>
  <c r="D13" i="32"/>
  <c r="D12" i="32"/>
  <c r="D9" i="32"/>
  <c r="D14" i="32" l="1"/>
  <c r="D15" i="32" s="1"/>
  <c r="D16" i="32" s="1"/>
  <c r="AB13" i="30"/>
  <c r="D9" i="30"/>
  <c r="AC6" i="30"/>
  <c r="AC5" i="30"/>
  <c r="AC7" i="30"/>
  <c r="L28" i="14"/>
  <c r="P3" i="14"/>
  <c r="P2" i="14"/>
  <c r="J35" i="14" l="1"/>
  <c r="H17" i="14" l="1"/>
  <c r="H16" i="14"/>
  <c r="J9" i="14"/>
  <c r="D15" i="23"/>
  <c r="D13" i="23"/>
  <c r="C42" i="17" l="1"/>
  <c r="G37" i="20"/>
  <c r="G36" i="20"/>
  <c r="H113" i="17"/>
  <c r="I61" i="18"/>
  <c r="E62" i="18" s="1"/>
  <c r="I60" i="18"/>
  <c r="C11" i="18"/>
  <c r="C8" i="18"/>
  <c r="I51" i="18"/>
  <c r="J53" i="18" s="1"/>
  <c r="I49" i="18"/>
  <c r="I21" i="14" l="1"/>
  <c r="I9" i="14"/>
  <c r="I11" i="14"/>
  <c r="K4" i="14"/>
  <c r="L9" i="30" l="1"/>
  <c r="M3" i="14" l="1"/>
  <c r="I36" i="14" l="1"/>
  <c r="J14" i="14"/>
  <c r="G235" i="17"/>
  <c r="H232" i="17"/>
  <c r="D25" i="31"/>
  <c r="H158" i="17" s="1"/>
  <c r="H157" i="17"/>
  <c r="B154" i="17"/>
  <c r="F149" i="17"/>
  <c r="D149" i="17"/>
  <c r="C40" i="17"/>
  <c r="D75" i="17"/>
  <c r="F43" i="17"/>
  <c r="I30" i="31"/>
  <c r="I28" i="31"/>
  <c r="I27" i="31"/>
  <c r="D24" i="31"/>
  <c r="H156" i="17" s="1"/>
  <c r="H160" i="17" s="1"/>
  <c r="D23" i="31"/>
  <c r="H159" i="17" s="1"/>
  <c r="D22" i="31"/>
  <c r="D21" i="31"/>
  <c r="D20" i="31"/>
  <c r="H155" i="17" s="1"/>
  <c r="AH19" i="31"/>
  <c r="Q19" i="31"/>
  <c r="AH18" i="31"/>
  <c r="AE19" i="31" s="1"/>
  <c r="Q18" i="31"/>
  <c r="AA17" i="31"/>
  <c r="AH17" i="31" s="1"/>
  <c r="Q17" i="31"/>
  <c r="A1" i="31"/>
  <c r="P7" i="14"/>
  <c r="O6" i="14"/>
  <c r="O18" i="14"/>
  <c r="O9" i="14"/>
  <c r="L9" i="14"/>
  <c r="N9" i="14" s="1"/>
  <c r="I12" i="14"/>
  <c r="AA16" i="30" l="1"/>
  <c r="B110" i="17"/>
  <c r="A3" i="18"/>
  <c r="B241" i="17" s="1"/>
  <c r="AF18" i="31"/>
  <c r="AE18" i="31"/>
  <c r="AF17" i="31"/>
  <c r="AF19" i="31"/>
  <c r="J31" i="14"/>
  <c r="O341" i="17" l="1"/>
  <c r="Y69" i="17"/>
  <c r="J8" i="14" l="1"/>
  <c r="F20" i="30"/>
  <c r="E16" i="30"/>
  <c r="E6" i="30"/>
  <c r="E5" i="30"/>
  <c r="E3" i="30"/>
  <c r="B2" i="32" s="1"/>
  <c r="AI19" i="14"/>
  <c r="AH19" i="17"/>
  <c r="AH19" i="29"/>
  <c r="AL15" i="20"/>
  <c r="AJ22" i="21"/>
  <c r="AH21" i="23"/>
  <c r="AI18" i="14"/>
  <c r="AH18" i="17"/>
  <c r="AE19" i="17" s="1"/>
  <c r="AH18" i="29"/>
  <c r="AE19" i="29" s="1"/>
  <c r="AL14" i="20"/>
  <c r="AJ21" i="21"/>
  <c r="AG22" i="21" s="1"/>
  <c r="AH20" i="23"/>
  <c r="AE21" i="23" s="1"/>
  <c r="R18" i="14"/>
  <c r="R19" i="14"/>
  <c r="Q18" i="17"/>
  <c r="Q19" i="17"/>
  <c r="Q18" i="29"/>
  <c r="Q19" i="29"/>
  <c r="U14" i="20"/>
  <c r="U15" i="20"/>
  <c r="S21" i="21"/>
  <c r="S22" i="21"/>
  <c r="Q20" i="23"/>
  <c r="Q21" i="23"/>
  <c r="R17" i="14"/>
  <c r="Q17" i="17"/>
  <c r="Q17" i="29"/>
  <c r="U13" i="20"/>
  <c r="S20" i="21"/>
  <c r="Q19" i="23"/>
  <c r="AB17" i="14"/>
  <c r="AI17" i="14" s="1"/>
  <c r="AA17" i="17"/>
  <c r="AH17" i="17" s="1"/>
  <c r="AF17" i="17" s="1"/>
  <c r="AA17" i="29"/>
  <c r="AH17" i="29" s="1"/>
  <c r="AE13" i="20"/>
  <c r="AL13" i="20" s="1"/>
  <c r="AC20" i="21"/>
  <c r="AJ20" i="21" s="1"/>
  <c r="AA19" i="23"/>
  <c r="AH19" i="23" s="1"/>
  <c r="AE20" i="23" s="1"/>
  <c r="AE18" i="29" l="1"/>
  <c r="AF17" i="29"/>
  <c r="AF18" i="29"/>
  <c r="AF19" i="23"/>
  <c r="AJ13" i="20"/>
  <c r="AI14" i="20"/>
  <c r="AJ14" i="20"/>
  <c r="AF18" i="17"/>
  <c r="AE18" i="17"/>
  <c r="AF20" i="23"/>
  <c r="AH20" i="21"/>
  <c r="AG21" i="21"/>
  <c r="AH21" i="21"/>
  <c r="AG17" i="14"/>
  <c r="AF18" i="14"/>
  <c r="AG18" i="14"/>
  <c r="AF19" i="14"/>
  <c r="AG19" i="14"/>
  <c r="AF19" i="17"/>
  <c r="AF19" i="29"/>
  <c r="AI15" i="20"/>
  <c r="AH22" i="21"/>
  <c r="AJ15" i="20"/>
  <c r="AF21" i="23"/>
  <c r="D13" i="27"/>
  <c r="D12" i="27"/>
  <c r="N8" i="14"/>
  <c r="I10" i="14"/>
  <c r="I14" i="14"/>
  <c r="L11" i="14"/>
  <c r="N10" i="14"/>
  <c r="B43" i="17"/>
  <c r="O14" i="14"/>
  <c r="D24" i="29" l="1"/>
  <c r="D23" i="29"/>
  <c r="D22" i="29"/>
  <c r="D21" i="29"/>
  <c r="D20" i="29"/>
  <c r="I40" i="29"/>
  <c r="P30" i="29"/>
  <c r="I43" i="29"/>
  <c r="A1" i="29"/>
  <c r="M10" i="14"/>
  <c r="N32" i="14"/>
  <c r="O31" i="14" s="1"/>
  <c r="O34" i="14"/>
  <c r="M34" i="14"/>
  <c r="B41" i="17"/>
  <c r="R19" i="27"/>
  <c r="D19" i="27"/>
  <c r="F19" i="27" s="1"/>
  <c r="H19" i="27" s="1"/>
  <c r="AA19" i="27" s="1"/>
  <c r="I41" i="29" l="1"/>
  <c r="M31" i="14"/>
  <c r="M18" i="14"/>
  <c r="Q67" i="18"/>
  <c r="C21" i="28"/>
  <c r="C22" i="28" s="1"/>
  <c r="C19" i="28"/>
  <c r="C18" i="28"/>
  <c r="C17" i="28"/>
  <c r="C7" i="28"/>
  <c r="C16" i="28" l="1"/>
  <c r="D14" i="27" l="1"/>
  <c r="J13" i="27" s="1"/>
  <c r="Q53" i="18"/>
  <c r="S53" i="18" s="1"/>
  <c r="R18" i="27"/>
  <c r="D18" i="27"/>
  <c r="F18" i="27" s="1"/>
  <c r="H18" i="27" s="1"/>
  <c r="AA18" i="27" s="1"/>
  <c r="R17" i="27"/>
  <c r="D17" i="27"/>
  <c r="F17" i="27" s="1"/>
  <c r="E14" i="27"/>
  <c r="D11" i="27"/>
  <c r="J11" i="27" s="1"/>
  <c r="D9" i="27"/>
  <c r="J9" i="27" s="1"/>
  <c r="E6" i="27"/>
  <c r="E5" i="27"/>
  <c r="E3" i="27"/>
  <c r="R23" i="26"/>
  <c r="D23" i="26"/>
  <c r="F23" i="26" s="1"/>
  <c r="H23" i="26" s="1"/>
  <c r="R22" i="26"/>
  <c r="D22" i="26"/>
  <c r="F22" i="26" s="1"/>
  <c r="H22" i="26" s="1"/>
  <c r="B22" i="26"/>
  <c r="S22" i="26" s="1"/>
  <c r="R21" i="26"/>
  <c r="D21" i="26"/>
  <c r="F21" i="26" s="1"/>
  <c r="H21" i="26" s="1"/>
  <c r="B21" i="26"/>
  <c r="S21" i="26" s="1"/>
  <c r="R20" i="26"/>
  <c r="D20" i="26"/>
  <c r="F20" i="26" s="1"/>
  <c r="H20" i="26" s="1"/>
  <c r="R19" i="26"/>
  <c r="D19" i="26"/>
  <c r="F19" i="26" s="1"/>
  <c r="G19" i="26" s="1"/>
  <c r="E16" i="26"/>
  <c r="D12" i="26"/>
  <c r="D11" i="26"/>
  <c r="D9" i="26"/>
  <c r="J9" i="26" s="1"/>
  <c r="E6" i="26"/>
  <c r="E5" i="26"/>
  <c r="E3" i="26"/>
  <c r="L10" i="14"/>
  <c r="D19" i="23"/>
  <c r="E19" i="23"/>
  <c r="D9" i="23"/>
  <c r="E6" i="23"/>
  <c r="E5" i="23"/>
  <c r="E3" i="23"/>
  <c r="C2" i="20"/>
  <c r="C3" i="21" s="1"/>
  <c r="J11" i="26" l="1"/>
  <c r="B19" i="26" s="1"/>
  <c r="G17" i="27"/>
  <c r="AA17" i="27"/>
  <c r="B17" i="27"/>
  <c r="J10" i="27"/>
  <c r="J12" i="27" s="1"/>
  <c r="B18" i="27" s="1"/>
  <c r="J10" i="26"/>
  <c r="J199" i="17"/>
  <c r="K346" i="17" s="1"/>
  <c r="K36" i="14"/>
  <c r="L36" i="14" s="1"/>
  <c r="J12" i="26" l="1"/>
  <c r="B20" i="26" s="1"/>
  <c r="S20" i="26" s="1"/>
  <c r="B19" i="27"/>
  <c r="AB17" i="27"/>
  <c r="AC17" i="27" s="1"/>
  <c r="AH17" i="27" s="1"/>
  <c r="AB18" i="27"/>
  <c r="S17" i="27"/>
  <c r="O17" i="27"/>
  <c r="O19" i="26"/>
  <c r="S19" i="26"/>
  <c r="D13" i="26" l="1"/>
  <c r="D14" i="26" s="1"/>
  <c r="D15" i="26" s="1"/>
  <c r="J15" i="26" s="1"/>
  <c r="B23" i="26" s="1"/>
  <c r="S23" i="26" s="1"/>
  <c r="AE18" i="27"/>
  <c r="AF17" i="27"/>
  <c r="AG17" i="27" s="1"/>
  <c r="Q17" i="27" s="1"/>
  <c r="S19" i="27"/>
  <c r="AB19" i="27"/>
  <c r="AD17" i="27"/>
  <c r="S18" i="27"/>
  <c r="AC18" i="27"/>
  <c r="AH18" i="27" s="1"/>
  <c r="P17" i="27"/>
  <c r="O18" i="27"/>
  <c r="O20" i="26"/>
  <c r="P19" i="26"/>
  <c r="Q19" i="26" s="1"/>
  <c r="T19" i="26" s="1"/>
  <c r="A1" i="18"/>
  <c r="H112" i="17"/>
  <c r="H114" i="17"/>
  <c r="C6" i="18"/>
  <c r="AE19" i="27" l="1"/>
  <c r="AF18" i="27"/>
  <c r="AC19" i="27"/>
  <c r="AH19" i="27" s="1"/>
  <c r="AF19" i="27" s="1"/>
  <c r="AD18" i="27"/>
  <c r="O19" i="27"/>
  <c r="T17" i="27"/>
  <c r="I79" i="18"/>
  <c r="P18" i="27"/>
  <c r="P20" i="26"/>
  <c r="Q20" i="26" s="1"/>
  <c r="T20" i="26" s="1"/>
  <c r="O21" i="26"/>
  <c r="I81" i="18"/>
  <c r="I78" i="18"/>
  <c r="T53" i="18" l="1"/>
  <c r="E56" i="18"/>
  <c r="E57" i="18"/>
  <c r="AG18" i="27"/>
  <c r="Q18" i="27" s="1"/>
  <c r="T18" i="27" s="1"/>
  <c r="P19" i="27"/>
  <c r="AD19" i="27"/>
  <c r="O22" i="26"/>
  <c r="P21" i="26"/>
  <c r="Q21" i="26" s="1"/>
  <c r="T21" i="26" s="1"/>
  <c r="B52" i="17"/>
  <c r="B51" i="17"/>
  <c r="B50" i="17"/>
  <c r="C2" i="17"/>
  <c r="C36" i="17" s="1"/>
  <c r="D318" i="17"/>
  <c r="D313" i="17"/>
  <c r="F318" i="17" s="1"/>
  <c r="D303" i="17"/>
  <c r="D298" i="17"/>
  <c r="I258" i="17"/>
  <c r="I251" i="17"/>
  <c r="P27" i="17" s="1"/>
  <c r="N247" i="17"/>
  <c r="H245" i="17"/>
  <c r="F255" i="17" s="1"/>
  <c r="E245" i="17"/>
  <c r="H244" i="17"/>
  <c r="D255" i="17" s="1"/>
  <c r="E244" i="17"/>
  <c r="H243" i="17"/>
  <c r="G247" i="17" s="1"/>
  <c r="E243" i="17"/>
  <c r="H242" i="17"/>
  <c r="D248" i="17" s="1"/>
  <c r="E242" i="17"/>
  <c r="F229" i="17"/>
  <c r="D229" i="17"/>
  <c r="G220" i="17"/>
  <c r="G221" i="17" s="1"/>
  <c r="J209" i="17"/>
  <c r="I206" i="17"/>
  <c r="D206" i="17"/>
  <c r="I193" i="17"/>
  <c r="F190" i="17"/>
  <c r="D190" i="17"/>
  <c r="I186" i="17"/>
  <c r="P25" i="17" s="1"/>
  <c r="D183" i="17"/>
  <c r="G162" i="17"/>
  <c r="D160" i="17"/>
  <c r="D159" i="17"/>
  <c r="D158" i="17"/>
  <c r="D157" i="17"/>
  <c r="D156" i="17"/>
  <c r="D155" i="17"/>
  <c r="F151" i="17"/>
  <c r="D151" i="17"/>
  <c r="D150" i="17"/>
  <c r="F171" i="17" s="1"/>
  <c r="D147" i="17"/>
  <c r="G163" i="17" s="1"/>
  <c r="J133" i="17"/>
  <c r="F130" i="17"/>
  <c r="D130" i="17"/>
  <c r="J123" i="17"/>
  <c r="D120" i="17"/>
  <c r="H119" i="17"/>
  <c r="D114" i="17"/>
  <c r="D245" i="17" s="1"/>
  <c r="D113" i="17"/>
  <c r="D244" i="17" s="1"/>
  <c r="D112" i="17"/>
  <c r="D243" i="17" s="1"/>
  <c r="D111" i="17"/>
  <c r="F108" i="17"/>
  <c r="F106" i="17"/>
  <c r="N92" i="17"/>
  <c r="D89" i="17"/>
  <c r="I79" i="17"/>
  <c r="D79" i="17"/>
  <c r="E80" i="17" s="1"/>
  <c r="R76" i="17"/>
  <c r="R77" i="17" s="1"/>
  <c r="T70" i="17"/>
  <c r="W66" i="17"/>
  <c r="W67" i="17" s="1"/>
  <c r="U70" i="17" s="1"/>
  <c r="N65" i="17"/>
  <c r="R53" i="17"/>
  <c r="D53" i="17"/>
  <c r="D54" i="17" s="1"/>
  <c r="R46" i="17"/>
  <c r="R45" i="17"/>
  <c r="I43" i="17"/>
  <c r="I41" i="17"/>
  <c r="Q15" i="17"/>
  <c r="Q14" i="17"/>
  <c r="N14" i="17"/>
  <c r="R3" i="17"/>
  <c r="R5" i="17" s="1"/>
  <c r="I46" i="17" l="1"/>
  <c r="D242" i="17"/>
  <c r="M111" i="17"/>
  <c r="D140" i="17"/>
  <c r="P22" i="17"/>
  <c r="P47" i="17"/>
  <c r="P26" i="17"/>
  <c r="P44" i="17"/>
  <c r="P23" i="17"/>
  <c r="P49" i="17"/>
  <c r="P28" i="17"/>
  <c r="H246" i="17"/>
  <c r="J334" i="17" s="1"/>
  <c r="K345" i="17" s="1"/>
  <c r="J141" i="17"/>
  <c r="P24" i="17" s="1"/>
  <c r="D115" i="17"/>
  <c r="D246" i="17" s="1"/>
  <c r="AG19" i="27"/>
  <c r="Q19" i="27" s="1"/>
  <c r="T19" i="27" s="1"/>
  <c r="T20" i="27" s="1"/>
  <c r="D40" i="14"/>
  <c r="O23" i="26"/>
  <c r="P22" i="26"/>
  <c r="Q22" i="26" s="1"/>
  <c r="T22" i="26" s="1"/>
  <c r="P46" i="17"/>
  <c r="D198" i="17"/>
  <c r="I229" i="17"/>
  <c r="P48" i="17"/>
  <c r="D333" i="17"/>
  <c r="P43" i="17"/>
  <c r="I163" i="17"/>
  <c r="H80" i="17"/>
  <c r="J98" i="17" s="1"/>
  <c r="F104" i="17" s="1"/>
  <c r="V70" i="17"/>
  <c r="Q16" i="17"/>
  <c r="E163" i="17"/>
  <c r="R47" i="17"/>
  <c r="S47" i="17" s="1"/>
  <c r="I67" i="17"/>
  <c r="H151" i="17"/>
  <c r="J151" i="17" s="1"/>
  <c r="J152" i="17" s="1"/>
  <c r="F174" i="17" s="1"/>
  <c r="H54" i="17"/>
  <c r="D65" i="17" s="1"/>
  <c r="D66" i="17" s="1"/>
  <c r="I66" i="17" s="1"/>
  <c r="F177" i="17" l="1"/>
  <c r="F98" i="17"/>
  <c r="K344" i="17"/>
  <c r="P45" i="17"/>
  <c r="D25" i="14"/>
  <c r="C24" i="28"/>
  <c r="P23" i="26"/>
  <c r="Q23" i="26" s="1"/>
  <c r="T23" i="26" s="1"/>
  <c r="T24" i="26" s="1"/>
  <c r="D174" i="17"/>
  <c r="I174" i="17" s="1"/>
  <c r="D69" i="17" l="1"/>
  <c r="D204" i="17" s="1"/>
  <c r="D226" i="17" s="1"/>
  <c r="D26" i="17"/>
  <c r="H341" i="17" s="1"/>
  <c r="D93" i="17"/>
  <c r="I93" i="17" s="1"/>
  <c r="K80" i="17" s="1"/>
  <c r="K222" i="17" s="1"/>
  <c r="D177" i="17"/>
  <c r="I177" i="17" s="1"/>
  <c r="K164" i="17"/>
  <c r="D87" i="17" l="1"/>
  <c r="D182" i="17"/>
  <c r="I182" i="17" s="1"/>
  <c r="D197" i="17"/>
  <c r="K197" i="17" s="1"/>
  <c r="H346" i="17" s="1"/>
  <c r="M346" i="17" s="1"/>
  <c r="D98" i="17"/>
  <c r="N100" i="17" s="1"/>
  <c r="N101" i="17" s="1"/>
  <c r="D104" i="17"/>
  <c r="F235" i="17"/>
  <c r="G233" i="17"/>
  <c r="O46" i="17" l="1"/>
  <c r="O25" i="17"/>
  <c r="F47" i="18"/>
  <c r="F46" i="18"/>
  <c r="F36" i="29"/>
  <c r="F35" i="29"/>
  <c r="F73" i="18"/>
  <c r="F72" i="18"/>
  <c r="D100" i="17"/>
  <c r="J29" i="14" l="1"/>
  <c r="J11" i="14"/>
  <c r="J30" i="14" l="1"/>
  <c r="J36" i="14"/>
  <c r="K29" i="14"/>
  <c r="L29" i="14"/>
  <c r="A56" i="14"/>
  <c r="A57" i="14" s="1"/>
  <c r="A58" i="14" s="1"/>
  <c r="A59" i="14" s="1"/>
  <c r="A60" i="14" s="1"/>
  <c r="A61" i="14" s="1"/>
  <c r="A62" i="14" s="1"/>
  <c r="A63" i="14" s="1"/>
  <c r="A64" i="14" s="1"/>
  <c r="A65" i="14" s="1"/>
  <c r="A66" i="14" s="1"/>
  <c r="A67" i="14" s="1"/>
  <c r="A68" i="14" s="1"/>
  <c r="A69" i="14" s="1"/>
  <c r="A70" i="14" s="1"/>
  <c r="A71" i="14" s="1"/>
  <c r="A72" i="14" s="1"/>
  <c r="A73" i="14" s="1"/>
  <c r="A74" i="14" s="1"/>
  <c r="A75" i="14" s="1"/>
  <c r="A76" i="14" s="1"/>
  <c r="A77" i="14" s="1"/>
  <c r="A78" i="14" s="1"/>
  <c r="A79" i="14" s="1"/>
  <c r="A80" i="14" s="1"/>
  <c r="A81" i="14" s="1"/>
  <c r="A12" i="14"/>
  <c r="A13" i="14" s="1"/>
  <c r="A14" i="14" s="1"/>
  <c r="A15" i="14" s="1"/>
  <c r="A17" i="14" s="1"/>
  <c r="A18" i="14" s="1"/>
  <c r="A20" i="14" s="1"/>
  <c r="A21" i="14" s="1"/>
  <c r="A22" i="14" s="1"/>
  <c r="A23" i="14" s="1"/>
  <c r="A24" i="14" s="1"/>
  <c r="A26" i="14" s="1"/>
  <c r="A27" i="14" s="1"/>
  <c r="A90" i="14" l="1"/>
  <c r="A91" i="14" s="1"/>
  <c r="A92" i="14" s="1"/>
  <c r="A93" i="14" s="1"/>
  <c r="A94" i="14" s="1"/>
  <c r="A95" i="14" s="1"/>
  <c r="A28" i="14"/>
  <c r="A29" i="14" s="1"/>
  <c r="A31" i="14" s="1"/>
  <c r="A32" i="14" s="1"/>
  <c r="A33" i="14" s="1"/>
  <c r="A34" i="14" s="1"/>
  <c r="A35" i="14" s="1"/>
  <c r="A36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l="1"/>
  <c r="A48" i="14" s="1"/>
  <c r="A49" i="14" s="1"/>
  <c r="A50" i="14" s="1"/>
  <c r="A51" i="14" s="1"/>
  <c r="A52" i="14" s="1"/>
  <c r="A53" i="14" s="1"/>
  <c r="P20" i="30"/>
  <c r="P21" i="30" s="1"/>
  <c r="T20" i="30" l="1"/>
  <c r="S20" i="30" l="1"/>
  <c r="V20" i="30" s="1"/>
  <c r="D232" i="17" l="1"/>
  <c r="J226" i="17"/>
  <c r="I235" i="17"/>
  <c r="C239" i="17" l="1"/>
  <c r="F239" i="17"/>
  <c r="D254" i="17" s="1"/>
  <c r="I254" i="17" s="1"/>
  <c r="D235" i="17"/>
  <c r="F232" i="17"/>
  <c r="J232" i="17"/>
  <c r="O49" i="17" l="1"/>
  <c r="O28" i="17"/>
  <c r="C238" i="17"/>
  <c r="F238" i="17"/>
  <c r="D332" i="17" l="1"/>
  <c r="K332" i="17" s="1"/>
  <c r="H345" i="17" s="1"/>
  <c r="M345" i="17" s="1"/>
  <c r="D247" i="17"/>
  <c r="I247" i="17" s="1"/>
  <c r="O27" i="17" s="1"/>
  <c r="O48" i="17" l="1"/>
  <c r="D15" i="30"/>
  <c r="L15" i="30" s="1"/>
  <c r="B23" i="30" s="1"/>
  <c r="B22" i="30"/>
  <c r="T22" i="30" s="1"/>
  <c r="T23" i="30" l="1"/>
  <c r="R22" i="30"/>
  <c r="P22" i="30"/>
  <c r="P23" i="30" s="1"/>
  <c r="U14" i="30" l="1"/>
  <c r="S22" i="30"/>
  <c r="V22" i="30" s="1"/>
  <c r="Q23" i="30"/>
  <c r="R23" i="30"/>
  <c r="V15" i="30" s="1"/>
  <c r="S23" i="30" l="1"/>
  <c r="V23" i="30" s="1"/>
  <c r="V24" i="30" s="1"/>
  <c r="D14" i="17" s="1"/>
  <c r="D17" i="17" l="1"/>
  <c r="D16" i="17"/>
  <c r="D19" i="17" l="1"/>
  <c r="C25" i="28"/>
  <c r="D41" i="14"/>
  <c r="D32" i="14"/>
  <c r="D18" i="17"/>
  <c r="C27" i="28" l="1"/>
  <c r="D23" i="17"/>
  <c r="D22" i="17"/>
  <c r="D42" i="14" l="1"/>
  <c r="D25" i="17"/>
  <c r="D73" i="17"/>
  <c r="D24" i="17"/>
  <c r="C29" i="28"/>
  <c r="F26" i="17" l="1"/>
  <c r="C30" i="28"/>
  <c r="D43" i="14"/>
  <c r="F69" i="17" s="1"/>
  <c r="D88" i="17"/>
  <c r="D146" i="17"/>
  <c r="B84" i="17" l="1"/>
  <c r="K84" i="17" s="1"/>
  <c r="H98" i="17" s="1"/>
  <c r="D169" i="17"/>
  <c r="AC52" i="17"/>
  <c r="M69" i="17"/>
  <c r="K341" i="17"/>
  <c r="M341" i="17" s="1"/>
  <c r="J169" i="17" l="1"/>
  <c r="D171" i="17"/>
  <c r="D172" i="17" s="1"/>
  <c r="H100" i="17"/>
  <c r="F101" i="17" s="1"/>
  <c r="N98" i="17"/>
  <c r="N103" i="17" s="1"/>
  <c r="H104" i="17"/>
  <c r="K104" i="17" s="1"/>
  <c r="D108" i="17" s="1"/>
  <c r="K108" i="17" s="1"/>
  <c r="D106" i="17" l="1"/>
  <c r="K106" i="17" s="1"/>
  <c r="K101" i="17"/>
  <c r="D129" i="17"/>
  <c r="K129" i="17" s="1"/>
  <c r="N66" i="18"/>
  <c r="O66" i="18" s="1"/>
  <c r="M29" i="29"/>
  <c r="N29" i="29" s="1"/>
  <c r="N40" i="18"/>
  <c r="O40" i="18" s="1"/>
  <c r="D119" i="17"/>
  <c r="K119" i="17" s="1"/>
  <c r="D139" i="17"/>
  <c r="K139" i="17" s="1"/>
  <c r="D180" i="17"/>
  <c r="I180" i="17"/>
  <c r="D189" i="17" s="1"/>
  <c r="I189" i="17" s="1"/>
  <c r="E41" i="18" l="1"/>
  <c r="E40" i="18"/>
  <c r="E42" i="18"/>
  <c r="E43" i="18" s="1"/>
  <c r="J47" i="18" s="1"/>
  <c r="O26" i="17"/>
  <c r="O47" i="17"/>
  <c r="E30" i="29"/>
  <c r="E31" i="29"/>
  <c r="E32" i="29" s="1"/>
  <c r="J36" i="29" s="1"/>
  <c r="E29" i="29"/>
  <c r="H344" i="17"/>
  <c r="M344" i="17" s="1"/>
  <c r="O24" i="17"/>
  <c r="O45" i="17"/>
  <c r="O22" i="17"/>
  <c r="O43" i="17"/>
  <c r="E68" i="18"/>
  <c r="E69" i="18" s="1"/>
  <c r="J73" i="18" s="1"/>
  <c r="E67" i="18"/>
  <c r="E66" i="18"/>
  <c r="O23" i="17"/>
  <c r="O44" i="17"/>
</calcChain>
</file>

<file path=xl/sharedStrings.xml><?xml version="1.0" encoding="utf-8"?>
<sst xmlns="http://schemas.openxmlformats.org/spreadsheetml/2006/main" count="1359" uniqueCount="565">
  <si>
    <t>Test pile</t>
  </si>
  <si>
    <t>Location of the pile (schematic sketch showing details and bore particulars also enclosed)</t>
  </si>
  <si>
    <t xml:space="preserve">Reduced level of the existing ground level adjacent to the test pile </t>
  </si>
  <si>
    <t xml:space="preserve">Water table level </t>
  </si>
  <si>
    <t xml:space="preserve">Cutoff level </t>
  </si>
  <si>
    <t>Reduced level of bottom of the pile provided in the field</t>
  </si>
  <si>
    <t xml:space="preserve">Difference in the Length of liner </t>
  </si>
  <si>
    <t>Design load(excluding self wt)</t>
  </si>
  <si>
    <t>Mix design details</t>
  </si>
  <si>
    <t>Cement consumption details</t>
  </si>
  <si>
    <t>Kentledge load calculation</t>
  </si>
  <si>
    <t>Design load</t>
  </si>
  <si>
    <t>Kentledge arrangement details</t>
  </si>
  <si>
    <t>Section</t>
  </si>
  <si>
    <t>Depth of web</t>
  </si>
  <si>
    <t>Girder length</t>
  </si>
  <si>
    <t>Cross Girder</t>
  </si>
  <si>
    <t>Packing plate</t>
  </si>
  <si>
    <t>Capacity (must be 25% higher than the test load)</t>
  </si>
  <si>
    <t>Effective area of the ram in cm2</t>
  </si>
  <si>
    <t>Pressure gauge</t>
  </si>
  <si>
    <t>Capacity of the pressure gauge</t>
  </si>
  <si>
    <t>Organization Name which issued the Calibration certificate</t>
  </si>
  <si>
    <t>Calibration certificate No.</t>
  </si>
  <si>
    <t xml:space="preserve">Date of Calibration </t>
  </si>
  <si>
    <t>Validity period (Enclosed)</t>
  </si>
  <si>
    <t>Calibration certificate number</t>
  </si>
  <si>
    <t>Hose pipe</t>
  </si>
  <si>
    <t>Length of the hose pipe</t>
  </si>
  <si>
    <t>Datum bar detail</t>
  </si>
  <si>
    <t>Disturbance due to traffic</t>
  </si>
  <si>
    <t>Is there any possibility for disturbance due to traffic</t>
  </si>
  <si>
    <t>Take necessary steps to control traffic flow or make a trench parallel to the pavement, to a depth of 1-2 m from existing ground level</t>
  </si>
  <si>
    <t>Annexure</t>
  </si>
  <si>
    <t>Sill level</t>
  </si>
  <si>
    <t>Grade  of cement</t>
  </si>
  <si>
    <t xml:space="preserve">Pile installed in Rock or Soil  </t>
  </si>
  <si>
    <t>Dial gauges</t>
  </si>
  <si>
    <t>Sl.No</t>
  </si>
  <si>
    <t>Details</t>
  </si>
  <si>
    <t xml:space="preserve">Is any variation in the soil profile </t>
  </si>
  <si>
    <t>unit weight  of M sand in g/cc</t>
  </si>
  <si>
    <t>Nearest bore number for the test pile</t>
  </si>
  <si>
    <t>Reduced level  of bore point</t>
  </si>
  <si>
    <t xml:space="preserve">Clear gap between top of pile head and bottom of main girder </t>
  </si>
  <si>
    <t>Height of jack in rest position in mm</t>
  </si>
  <si>
    <t>Maximum lift of jack in mm</t>
  </si>
  <si>
    <t>organization name which issued the Calibration certificate</t>
  </si>
  <si>
    <t>Hydraulic oil alone be used for the test</t>
  </si>
  <si>
    <t>Scour level ( if applicable)</t>
  </si>
  <si>
    <t>Whether the local police station informed about the test</t>
  </si>
  <si>
    <t>Chainage in m</t>
  </si>
  <si>
    <t>Pile diameter in m</t>
  </si>
  <si>
    <t>Annular base plate diameter in mm</t>
  </si>
  <si>
    <t>Diameter of the jack in mm</t>
  </si>
  <si>
    <t>Ram diameter in mm</t>
  </si>
  <si>
    <t>Effective ram diameter in mm</t>
  </si>
  <si>
    <t xml:space="preserve">Section </t>
  </si>
  <si>
    <t xml:space="preserve">Furnish kentledge calculation details       </t>
  </si>
  <si>
    <t>In case of variation in the soil profile  opinion of the Pile designing authority obtained</t>
  </si>
  <si>
    <t>unit weight  of sand in g/cc</t>
  </si>
  <si>
    <t>Pile top level ( Test level )</t>
  </si>
  <si>
    <t>Subsurface exploration</t>
  </si>
  <si>
    <t xml:space="preserve">unit weight of CC block    </t>
  </si>
  <si>
    <t>Base Plate&amp; Top plate</t>
  </si>
  <si>
    <t>Plate thickness in mm ( minimum 40 mm )</t>
  </si>
  <si>
    <t>Make and model &amp; Sl.no</t>
  </si>
  <si>
    <t xml:space="preserve">Date of calibration </t>
  </si>
  <si>
    <t xml:space="preserve">Validity period </t>
  </si>
  <si>
    <t>Least count</t>
  </si>
  <si>
    <t>D1</t>
  </si>
  <si>
    <t>D2</t>
  </si>
  <si>
    <t>D3</t>
  </si>
  <si>
    <t>D4</t>
  </si>
  <si>
    <t>Range of dial gauge (travel)</t>
  </si>
  <si>
    <t>Date of casting of pile</t>
  </si>
  <si>
    <t>Frictional component value  upto scour level/cutoff level</t>
  </si>
  <si>
    <t>Main Girder (minimum ISMB 600 )</t>
  </si>
  <si>
    <t>Thickness of each packing plate  (minimum 25mm)</t>
  </si>
  <si>
    <t>Hydraulic Jack   (with check nut facility)</t>
  </si>
  <si>
    <t>No of piles in the group</t>
  </si>
  <si>
    <t>OPC 53 grade</t>
  </si>
  <si>
    <t>M35</t>
  </si>
  <si>
    <t>No</t>
  </si>
  <si>
    <t>Does not arise</t>
  </si>
  <si>
    <t>Yes, furnished.</t>
  </si>
  <si>
    <t>Base Plate</t>
  </si>
  <si>
    <t>Top Plate</t>
  </si>
  <si>
    <t>1000 mm</t>
  </si>
  <si>
    <t>Yes</t>
  </si>
  <si>
    <t>0.01 mm</t>
  </si>
  <si>
    <t>0-50 mm</t>
  </si>
  <si>
    <t>10000 psi</t>
  </si>
  <si>
    <t>6 m</t>
  </si>
  <si>
    <t>Grade Seperator/ Bridge/Bypass</t>
  </si>
  <si>
    <t>Name of the River Crossing</t>
  </si>
  <si>
    <t>No.of packing plates proposed to be provided</t>
  </si>
  <si>
    <r>
      <rPr>
        <b/>
        <sz val="12"/>
        <color rgb="FF000000"/>
        <rFont val="Times New Roman"/>
        <family val="1"/>
      </rPr>
      <t>Name of Work:</t>
    </r>
    <r>
      <rPr>
        <sz val="12"/>
        <color rgb="FF000000"/>
        <rFont val="Times New Roman"/>
        <family val="1"/>
      </rPr>
      <t xml:space="preserve"> </t>
    </r>
  </si>
  <si>
    <r>
      <rPr>
        <b/>
        <sz val="12"/>
        <color rgb="FF000000"/>
        <rFont val="Times New Roman"/>
        <family val="1"/>
      </rPr>
      <t>Test load</t>
    </r>
    <r>
      <rPr>
        <sz val="12"/>
        <color rgb="FF000000"/>
        <rFont val="Times New Roman"/>
        <family val="1"/>
      </rPr>
      <t xml:space="preserve">
( 2.5 times the design or revised design load for initial load test / 1.5 times the design or revised design load for routine load test)</t>
    </r>
  </si>
  <si>
    <r>
      <rPr>
        <b/>
        <sz val="12"/>
        <color rgb="FF000000"/>
        <rFont val="Times New Roman"/>
        <family val="1"/>
      </rPr>
      <t>Kentledge load-</t>
    </r>
    <r>
      <rPr>
        <sz val="12"/>
        <color rgb="FF000000"/>
        <rFont val="Times New Roman"/>
        <family val="1"/>
      </rPr>
      <t xml:space="preserve">
Test load + 25% of test load</t>
    </r>
  </si>
  <si>
    <t>Skin Friction Calculation</t>
  </si>
  <si>
    <t>Pile location:</t>
  </si>
  <si>
    <t>Chainage:</t>
  </si>
  <si>
    <t>Skin Friction = Rf = ∑ni=1 [ Ki x Pdi x tanδ + α Ci] Asi + α C Asi</t>
  </si>
  <si>
    <t>Pile Top</t>
  </si>
  <si>
    <t>Ground Level</t>
  </si>
  <si>
    <t>Layer 1</t>
  </si>
  <si>
    <t>Layer 2</t>
  </si>
  <si>
    <t>Layer 3</t>
  </si>
  <si>
    <t>Layer 4</t>
  </si>
  <si>
    <t>Layer 5</t>
  </si>
  <si>
    <t>Layer</t>
  </si>
  <si>
    <t>Angle of internal friction φ</t>
  </si>
  <si>
    <t>K</t>
  </si>
  <si>
    <t>α</t>
  </si>
  <si>
    <t>tan Ø</t>
  </si>
  <si>
    <t>Water Table</t>
  </si>
  <si>
    <t>N</t>
  </si>
  <si>
    <t>Bulk Density
 t/m2</t>
  </si>
  <si>
    <r>
      <rPr>
        <b/>
        <sz val="10"/>
        <color rgb="FF000000"/>
        <rFont val="Times New Roman"/>
        <family val="1"/>
      </rPr>
      <t>Name of Work:</t>
    </r>
    <r>
      <rPr>
        <sz val="10"/>
        <color rgb="FF000000"/>
        <rFont val="Times New Roman"/>
        <family val="1"/>
      </rPr>
      <t xml:space="preserve"> </t>
    </r>
  </si>
  <si>
    <t>skin friction tonne
(MT)</t>
  </si>
  <si>
    <t>Natural Moisture content
(%)</t>
  </si>
  <si>
    <t>Height
(m)</t>
  </si>
  <si>
    <t>Layer
Depth 
(m)</t>
  </si>
  <si>
    <t>Dry Density
(t/m2)</t>
  </si>
  <si>
    <t>Yd
(t/m2)</t>
  </si>
  <si>
    <t>Ysub
(t/m2)</t>
  </si>
  <si>
    <t>Diameter
(m)</t>
  </si>
  <si>
    <t>C
(t/m2)</t>
  </si>
  <si>
    <t>A = ΠDh
(m2)</t>
  </si>
  <si>
    <t>Po
(t/m2)</t>
  </si>
  <si>
    <t>P
(t/m2)</t>
  </si>
  <si>
    <t>Name of Work:-</t>
  </si>
  <si>
    <t>kg</t>
  </si>
  <si>
    <t>=</t>
  </si>
  <si>
    <t>Kg</t>
  </si>
  <si>
    <t>LOAD CALCULATION</t>
  </si>
  <si>
    <t>Design Load</t>
  </si>
  <si>
    <t>KN</t>
  </si>
  <si>
    <t>MT</t>
  </si>
  <si>
    <t>Cut of Level</t>
  </si>
  <si>
    <t>RL (+) 38.500 m</t>
  </si>
  <si>
    <t>Test Level</t>
  </si>
  <si>
    <t>RL (+) 41.230 m</t>
  </si>
  <si>
    <t>Difference (h)</t>
  </si>
  <si>
    <t>2.73 m</t>
  </si>
  <si>
    <t>Top</t>
  </si>
  <si>
    <t>Skin friction</t>
  </si>
  <si>
    <t>Bottom</t>
  </si>
  <si>
    <t>(Calculation attached)</t>
  </si>
  <si>
    <t>Height</t>
  </si>
  <si>
    <t>Factor of Safety</t>
  </si>
  <si>
    <t>Dia</t>
  </si>
  <si>
    <t>Load due Skin friction</t>
  </si>
  <si>
    <t>Volume</t>
  </si>
  <si>
    <t>Add extra Load due Skin friction</t>
  </si>
  <si>
    <t>Total Load</t>
  </si>
  <si>
    <t>Test Load</t>
  </si>
  <si>
    <t>Kentledge Load required</t>
  </si>
  <si>
    <t>Kentledge load provided</t>
  </si>
  <si>
    <t>&gt;</t>
  </si>
  <si>
    <t>Provided Kentledge load is greater that the requirement. Hence Ok.</t>
  </si>
  <si>
    <t>KENTLEDGE DETAILS</t>
  </si>
  <si>
    <t xml:space="preserve"> I. Steel Components</t>
  </si>
  <si>
    <t>Nos</t>
  </si>
  <si>
    <t>Main Beam</t>
  </si>
  <si>
    <t>(1 Nox 12x12x0.006)</t>
  </si>
  <si>
    <t>Cross Beam</t>
  </si>
  <si>
    <t>Prejacked</t>
  </si>
  <si>
    <t>cum</t>
  </si>
  <si>
    <t xml:space="preserve">Deduct for voids @ 20% </t>
  </si>
  <si>
    <t>x</t>
  </si>
  <si>
    <t>Cum</t>
  </si>
  <si>
    <t>Net Volume</t>
  </si>
  <si>
    <t>Net Load</t>
  </si>
  <si>
    <t>Hence Safe Load</t>
  </si>
  <si>
    <t>+</t>
  </si>
  <si>
    <t>Design of Main Beams</t>
  </si>
  <si>
    <t>No. of jacks</t>
  </si>
  <si>
    <t>Ram Dia</t>
  </si>
  <si>
    <t>t/m</t>
  </si>
  <si>
    <t>Test Load Availabe</t>
  </si>
  <si>
    <t>No of Girders</t>
  </si>
  <si>
    <t>in two sides</t>
  </si>
  <si>
    <t>I. Jacked condition</t>
  </si>
  <si>
    <t>(12-0)</t>
  </si>
  <si>
    <t>Load Intensity</t>
  </si>
  <si>
    <t>X</t>
  </si>
  <si>
    <t>1   X</t>
  </si>
  <si>
    <t>t/M</t>
  </si>
  <si>
    <t>12 X 12</t>
  </si>
  <si>
    <t>Bending Moment    M</t>
  </si>
  <si>
    <t>-</t>
  </si>
  <si>
    <t>MT-m</t>
  </si>
  <si>
    <t>Shear force          F</t>
  </si>
  <si>
    <t>M/grider</t>
  </si>
  <si>
    <t>/</t>
  </si>
  <si>
    <t>F/grider</t>
  </si>
  <si>
    <t>Ixx</t>
  </si>
  <si>
    <t>mm4</t>
  </si>
  <si>
    <t>cm4</t>
  </si>
  <si>
    <t>la</t>
  </si>
  <si>
    <t>mm</t>
  </si>
  <si>
    <t>cm</t>
  </si>
  <si>
    <t>h1</t>
  </si>
  <si>
    <t>w1</t>
  </si>
  <si>
    <t>kg/cm2</t>
  </si>
  <si>
    <t>&lt;</t>
  </si>
  <si>
    <t>Hence Safe</t>
  </si>
  <si>
    <t>Shear Stress          f</t>
  </si>
  <si>
    <t>Section modulus Z</t>
  </si>
  <si>
    <t>cm3</t>
  </si>
  <si>
    <t>Design of Cross Beams</t>
  </si>
  <si>
    <t>No. of Main Beams</t>
  </si>
  <si>
    <t>Flange width</t>
  </si>
  <si>
    <t>Main</t>
  </si>
  <si>
    <t>Cross</t>
  </si>
  <si>
    <t>No. of Cross Beams Propossed</t>
  </si>
  <si>
    <t>Spacing of Cross Beams</t>
  </si>
  <si>
    <t>c/c</t>
  </si>
  <si>
    <t>say</t>
  </si>
  <si>
    <t>proposed section ISMB400</t>
  </si>
  <si>
    <t>For ISMB 400</t>
  </si>
  <si>
    <t>Zxx</t>
  </si>
  <si>
    <t>1w</t>
  </si>
  <si>
    <t>mm3</t>
  </si>
  <si>
    <t>Reaction per Girder</t>
  </si>
  <si>
    <t>MTm</t>
  </si>
  <si>
    <t>K/M</t>
  </si>
  <si>
    <t>Bending Moment       M</t>
  </si>
  <si>
    <t>Shear Force                F</t>
  </si>
  <si>
    <t>Shear Stress            T</t>
  </si>
  <si>
    <t>Design of Main Beams - Prejacked Condition</t>
  </si>
  <si>
    <t>Ram Dia   =</t>
  </si>
  <si>
    <t>0.89</t>
  </si>
  <si>
    <t xml:space="preserve">2 x </t>
  </si>
  <si>
    <t>M / Girder =</t>
  </si>
  <si>
    <t>F / Girder =</t>
  </si>
  <si>
    <t>BUILTUP SECTION - I</t>
  </si>
  <si>
    <t>b</t>
  </si>
  <si>
    <t>Tw</t>
  </si>
  <si>
    <t>h</t>
  </si>
  <si>
    <t>ŷ</t>
  </si>
  <si>
    <t>y</t>
  </si>
  <si>
    <t>weight of Beam</t>
  </si>
  <si>
    <t>(2x420x20+660x16)x1000x1/1000000000x7850</t>
  </si>
  <si>
    <t>Kg/Rm</t>
  </si>
  <si>
    <t>Welding between Flange and web</t>
  </si>
  <si>
    <t>Horizontal Force</t>
  </si>
  <si>
    <t>Fax/Ixx</t>
  </si>
  <si>
    <t>Kg/cm/2 lines</t>
  </si>
  <si>
    <t>Kg/cm/ line</t>
  </si>
  <si>
    <t>Adopt 8mm weld</t>
  </si>
  <si>
    <t>Strength of 8mm weld</t>
  </si>
  <si>
    <t>0.707x0.8x505.762x1.25</t>
  </si>
  <si>
    <t>Assistant Divisional Engineer,</t>
  </si>
  <si>
    <t>Assistant Engineer,</t>
  </si>
  <si>
    <t>Divisional Engineer,</t>
  </si>
  <si>
    <t>p</t>
  </si>
  <si>
    <t>Divisional Engineer (H)</t>
  </si>
  <si>
    <t>Necessary plates are available</t>
  </si>
  <si>
    <t>Builtup section Details</t>
  </si>
  <si>
    <r>
      <rPr>
        <sz val="12"/>
        <color theme="1"/>
        <rFont val="Calibri"/>
        <family val="2"/>
        <scheme val="minor"/>
      </rPr>
      <t>t</t>
    </r>
    <r>
      <rPr>
        <sz val="8"/>
        <color theme="1"/>
        <rFont val="Calibri"/>
        <family val="2"/>
        <scheme val="minor"/>
      </rPr>
      <t>f</t>
    </r>
  </si>
  <si>
    <r>
      <rPr>
        <sz val="12"/>
        <color theme="1"/>
        <rFont val="Calibri"/>
        <family val="2"/>
        <scheme val="minor"/>
      </rPr>
      <t>t</t>
    </r>
    <r>
      <rPr>
        <sz val="8"/>
        <color theme="1"/>
        <rFont val="Calibri"/>
        <family val="2"/>
        <scheme val="minor"/>
      </rPr>
      <t>w</t>
    </r>
  </si>
  <si>
    <r>
      <rPr>
        <sz val="12"/>
        <color theme="1"/>
        <rFont val="Calibri"/>
        <family val="2"/>
        <scheme val="minor"/>
      </rPr>
      <t>h</t>
    </r>
    <r>
      <rPr>
        <sz val="8"/>
        <color theme="1"/>
        <rFont val="Calibri"/>
        <family val="2"/>
        <scheme val="minor"/>
      </rPr>
      <t>1</t>
    </r>
  </si>
  <si>
    <r>
      <t>y</t>
    </r>
    <r>
      <rPr>
        <sz val="12"/>
        <color theme="1"/>
        <rFont val="Calibri"/>
        <family val="2"/>
      </rPr>
      <t>̅</t>
    </r>
  </si>
  <si>
    <r>
      <rPr>
        <sz val="12"/>
        <color theme="1"/>
        <rFont val="Calibri"/>
        <family val="2"/>
        <scheme val="minor"/>
      </rPr>
      <t>I</t>
    </r>
    <r>
      <rPr>
        <sz val="8"/>
        <color theme="1"/>
        <rFont val="Calibri"/>
        <family val="2"/>
        <scheme val="minor"/>
      </rPr>
      <t>xx</t>
    </r>
  </si>
  <si>
    <t>Weight of Beam</t>
  </si>
  <si>
    <t>Welding between Flange and Web</t>
  </si>
  <si>
    <t>Fax / Ixx</t>
  </si>
  <si>
    <t>Kg/cm/ 2 lines</t>
  </si>
  <si>
    <t>Kg/cm</t>
  </si>
  <si>
    <r>
      <rPr>
        <sz val="12"/>
        <color theme="1"/>
        <rFont val="Calibri"/>
        <family val="2"/>
        <scheme val="minor"/>
      </rPr>
      <t>Z</t>
    </r>
    <r>
      <rPr>
        <sz val="8"/>
        <color theme="1"/>
        <rFont val="Calibri"/>
        <family val="2"/>
        <scheme val="minor"/>
      </rPr>
      <t>xx</t>
    </r>
  </si>
  <si>
    <t>2 x Ixx</t>
  </si>
  <si>
    <t>(H+2h)</t>
  </si>
  <si>
    <t xml:space="preserve"> </t>
  </si>
  <si>
    <t>Reduced level of ( bottom level ) liner provided in the design</t>
  </si>
  <si>
    <t>Reduced level of (bottom level ) liner provided in the field</t>
  </si>
  <si>
    <t>Reduced level of bottom of pile as per approved design</t>
  </si>
  <si>
    <t>Description</t>
  </si>
  <si>
    <t>Data</t>
  </si>
  <si>
    <t>Trichy</t>
  </si>
  <si>
    <t>Projects</t>
  </si>
  <si>
    <t>64a</t>
  </si>
  <si>
    <t>65a</t>
  </si>
  <si>
    <t>66a</t>
  </si>
  <si>
    <t>67a</t>
  </si>
  <si>
    <t>68a</t>
  </si>
  <si>
    <t>69a</t>
  </si>
  <si>
    <t>70a</t>
  </si>
  <si>
    <t>71a</t>
  </si>
  <si>
    <t>GL</t>
  </si>
  <si>
    <t>SAND</t>
  </si>
  <si>
    <t>Summary</t>
  </si>
  <si>
    <t>Kentledge load</t>
  </si>
  <si>
    <t>Section Modulus for Main Girder (Jacked Condition)</t>
  </si>
  <si>
    <t>Section Modulus Main Girder (Pre-Jacked Condition)</t>
  </si>
  <si>
    <t>Section Modulus Cross Girder</t>
  </si>
  <si>
    <t>Required</t>
  </si>
  <si>
    <t>Provided</t>
  </si>
  <si>
    <t>Allowabe</t>
  </si>
  <si>
    <t>Kentledge Arrangements Drawing</t>
  </si>
  <si>
    <t xml:space="preserve">Name of work : </t>
  </si>
  <si>
    <t>Main Girder</t>
  </si>
  <si>
    <t>*Not to Scale</t>
  </si>
  <si>
    <t>Kentledge details</t>
  </si>
  <si>
    <t>Height :</t>
  </si>
  <si>
    <t>Main beam :</t>
  </si>
  <si>
    <t>Cross beam :</t>
  </si>
  <si>
    <t>Test Pile Location</t>
  </si>
  <si>
    <t>A1</t>
  </si>
  <si>
    <t>P1</t>
  </si>
  <si>
    <t>A2</t>
  </si>
  <si>
    <t>P10</t>
  </si>
  <si>
    <t>P11</t>
  </si>
  <si>
    <t>P12</t>
  </si>
  <si>
    <t>* Drawing not to Scale</t>
  </si>
  <si>
    <t>Cut off Level</t>
  </si>
  <si>
    <t>Sill Level</t>
  </si>
  <si>
    <t>Pile Driven Details</t>
  </si>
  <si>
    <t>Dial Gauge Nos</t>
  </si>
  <si>
    <t>Dial gauge serial number Least count</t>
  </si>
  <si>
    <t>Capacity (atleast 30% higher than the test load)</t>
  </si>
  <si>
    <t>Total</t>
  </si>
  <si>
    <t>Y = 17.8 kN/m2, NMC = 8.20 %, Ø=33.4, C=0 t/m2, N=14.42</t>
  </si>
  <si>
    <t>Y = 18.1 kN/m2, NMC = 8.50 %, Ø=34.2, C=0 t/m2, N=15.98</t>
  </si>
  <si>
    <t>Y = 18.4 kN/m2, NMC = 8.60 %, Ø=34.9, C=0 t/m2, N=14.32</t>
  </si>
  <si>
    <t>Y = 18.5 kN/m2, NMC = 8.80 %, Ø=35.3, C=0 t/m2, N&gt;50</t>
  </si>
  <si>
    <t>&gt;50</t>
  </si>
  <si>
    <t>Bottom of Soil layer</t>
  </si>
  <si>
    <t>Test Pile</t>
  </si>
  <si>
    <t>Job No</t>
  </si>
  <si>
    <t>:</t>
  </si>
  <si>
    <t>Division</t>
  </si>
  <si>
    <t>Name of Work</t>
  </si>
  <si>
    <t>Scheme</t>
  </si>
  <si>
    <t>NABARD loan assistance for the year 2020-21</t>
  </si>
  <si>
    <t>Estimate Amount</t>
  </si>
  <si>
    <t>No of Span</t>
  </si>
  <si>
    <t>5 Spans of 20m c/c</t>
  </si>
  <si>
    <t>Test Type</t>
  </si>
  <si>
    <t>Initial Pile Load test</t>
  </si>
  <si>
    <t>Test pile Location</t>
  </si>
  <si>
    <t>Chainage</t>
  </si>
  <si>
    <t>Diameter of Pile</t>
  </si>
  <si>
    <t>Depth of Test Pile</t>
  </si>
  <si>
    <t>Load on Pier</t>
  </si>
  <si>
    <t>(or)</t>
  </si>
  <si>
    <t>Skin Friction</t>
  </si>
  <si>
    <t>Kentledge Load
(Required)</t>
  </si>
  <si>
    <t>Bridge type</t>
  </si>
  <si>
    <t>1710   x 1510 mm</t>
  </si>
  <si>
    <t>50 mm</t>
  </si>
  <si>
    <t>22003109
(S.No N284.59-00286)</t>
  </si>
  <si>
    <r>
      <t xml:space="preserve">Revised design load including                           Frictional component upto the cutoff level or scour level                                                      </t>
    </r>
    <r>
      <rPr>
        <sz val="12"/>
        <color rgb="FF000000"/>
        <rFont val="Times New Roman"/>
        <family val="1"/>
      </rPr>
      <t xml:space="preserve">(Existing soil upto thecutoff level or scour level is not removed then the frictional component for the same shall be added with the design load)                                      </t>
    </r>
  </si>
  <si>
    <t>P</t>
  </si>
  <si>
    <t>Rectangle Portion</t>
  </si>
  <si>
    <t>Po=
Y*H</t>
  </si>
  <si>
    <t>Layer Depth</t>
  </si>
  <si>
    <t>Density
Y</t>
  </si>
  <si>
    <t>Height
H</t>
  </si>
  <si>
    <t>Triangle Portion</t>
  </si>
  <si>
    <t>101.37 Crore</t>
  </si>
  <si>
    <t>Section Modulus</t>
  </si>
  <si>
    <t>Ixx/Y</t>
  </si>
  <si>
    <t>Indian Standard Wide Parallel Flange Beam HE900M</t>
  </si>
  <si>
    <t>Depth of Girder</t>
  </si>
  <si>
    <t>Flange Width</t>
  </si>
  <si>
    <t>Web Thickness</t>
  </si>
  <si>
    <t>Flange Thickness</t>
  </si>
  <si>
    <t>Moment of Inertia @X</t>
  </si>
  <si>
    <t>Moment of Inertia @Y</t>
  </si>
  <si>
    <t>Section Modulus @X</t>
  </si>
  <si>
    <t>Section Modulus @Y</t>
  </si>
  <si>
    <t>Weight per metre</t>
  </si>
  <si>
    <t>d</t>
  </si>
  <si>
    <t>bf</t>
  </si>
  <si>
    <t>tw</t>
  </si>
  <si>
    <t>tf</t>
  </si>
  <si>
    <t>Iyy</t>
  </si>
  <si>
    <t>Zyy</t>
  </si>
  <si>
    <t>w</t>
  </si>
  <si>
    <t>kg/m</t>
  </si>
  <si>
    <t>for HE900M</t>
  </si>
  <si>
    <t>N&amp;RR</t>
  </si>
  <si>
    <t>Pudukkottai</t>
  </si>
  <si>
    <t>Medium Compacted Sand with Silt</t>
  </si>
  <si>
    <t>Medium Dense Poorly Graded Sand</t>
  </si>
  <si>
    <t>Scour Level</t>
  </si>
  <si>
    <t>@430 kg/m3</t>
  </si>
  <si>
    <t>Y = 16.9 kN/m2, NMC = 12.6 %, Ø=25.9, C=0 t/m2, N=8</t>
  </si>
  <si>
    <t>Y = 16.8 kN/m2, NMC = 13.4 %, Ø=25.7, C=0 t/m2, N=11</t>
  </si>
  <si>
    <t>PLT 04 /2023-24</t>
  </si>
  <si>
    <t>P
@bottom
(t/m2)</t>
  </si>
  <si>
    <t>P
@top
(t/m2)</t>
  </si>
  <si>
    <t>Bottom of Pile</t>
  </si>
  <si>
    <t>Check the girder name details in load calculation</t>
  </si>
  <si>
    <t>Main Girders -</t>
  </si>
  <si>
    <t>Conection</t>
  </si>
  <si>
    <t>Investigation bore</t>
  </si>
  <si>
    <t>J1</t>
  </si>
  <si>
    <t>J2</t>
  </si>
  <si>
    <t>Ixx of ISMB600</t>
  </si>
  <si>
    <t>Weight of ISMB600</t>
  </si>
  <si>
    <t xml:space="preserve">Cross Girders - </t>
  </si>
  <si>
    <t>Bore Level</t>
  </si>
  <si>
    <t>Test load =</t>
  </si>
  <si>
    <t>times of design load</t>
  </si>
  <si>
    <t>Top of Hard Rock</t>
  </si>
  <si>
    <t>Friction Depth</t>
  </si>
  <si>
    <t>Since it is Initial Pile load test</t>
  </si>
  <si>
    <t>Initial Pile Load test-Test Pile Particulars</t>
  </si>
  <si>
    <t>BH1</t>
  </si>
  <si>
    <t>ADE (H)</t>
  </si>
  <si>
    <t>AE (H)</t>
  </si>
  <si>
    <t>Skin Friction = Rf = ∑ni [ Ki x Pdi x tanδ Asi+ α CiAsi ]</t>
  </si>
  <si>
    <t>(Abutment A1)</t>
  </si>
  <si>
    <t>Chainage of bore Point</t>
  </si>
  <si>
    <t>GL @ site</t>
  </si>
  <si>
    <t>GL @ Conf bore</t>
  </si>
  <si>
    <t>Gross Voulme of MSand bags</t>
  </si>
  <si>
    <t>Maintain a minimum distance of  3d between the pile ( nearest outer surface) and datum  bar  installation. Drive 20mm dia rod into the ground ( minimum depth 2.5m) to fix the datum bars so as to avoid disturbance due to traffic (d- test pile diameter)</t>
  </si>
  <si>
    <t>Empty Weight of Cylinder (g)</t>
  </si>
  <si>
    <t>Volume of Cylinder (cm3)</t>
  </si>
  <si>
    <t>Height of Cylinder (cm)</t>
  </si>
  <si>
    <t>Diameter of Cylinder (cm)</t>
  </si>
  <si>
    <t>Unit Weight of Msand</t>
  </si>
  <si>
    <t>Cylinder + Compacted Msand Weight (g)</t>
  </si>
  <si>
    <t>Cylinder + Uncompacted Msand Weight (g)</t>
  </si>
  <si>
    <t>Uncompacted Msand Weight (g)</t>
  </si>
  <si>
    <t>Compacted Msand Weight (g)</t>
  </si>
  <si>
    <t>Average Weight of Msand (g)</t>
  </si>
  <si>
    <t>Unit Weight of Msand (g/cc)</t>
  </si>
  <si>
    <t>Unit Weight of Msand (Kg/m3)</t>
  </si>
  <si>
    <r>
      <t xml:space="preserve">1600 </t>
    </r>
    <r>
      <rPr>
        <sz val="11"/>
        <color theme="1"/>
        <rFont val="Calibri"/>
        <family val="2"/>
        <scheme val="minor"/>
      </rPr>
      <t>Kg/m3</t>
    </r>
  </si>
  <si>
    <t>Name of work</t>
  </si>
  <si>
    <t xml:space="preserve">Test pile    </t>
  </si>
  <si>
    <t xml:space="preserve">Confirmatory bore </t>
  </si>
  <si>
    <t>ISMB 450</t>
  </si>
  <si>
    <t>Jack - 600 MT (2 Nos)</t>
  </si>
  <si>
    <t>Hydraulic oil
Grade 68</t>
  </si>
  <si>
    <t>CSIR</t>
  </si>
  <si>
    <t xml:space="preserve">Dial gauge serial number </t>
  </si>
  <si>
    <t>BVHN52</t>
  </si>
  <si>
    <t>BPCW58</t>
  </si>
  <si>
    <t>BHWL84</t>
  </si>
  <si>
    <t>Srirangam</t>
  </si>
  <si>
    <t xml:space="preserve"> II. Fill material (CC Blocks)</t>
  </si>
  <si>
    <t>Unit Weight of CC Blocks</t>
  </si>
  <si>
    <t>kg/m3</t>
  </si>
  <si>
    <t>t/m3</t>
  </si>
  <si>
    <t>m3</t>
  </si>
  <si>
    <t>Load due to CCBlocks</t>
  </si>
  <si>
    <t>Kentledge</t>
  </si>
  <si>
    <t>CC Blocks (2 types)</t>
  </si>
  <si>
    <t>Layer 2 :</t>
  </si>
  <si>
    <t>Layer 3 :</t>
  </si>
  <si>
    <t>Type 1 CC Block :</t>
  </si>
  <si>
    <t>Type 2 CC Block :</t>
  </si>
  <si>
    <t>P8</t>
  </si>
  <si>
    <t>P9</t>
  </si>
  <si>
    <t>CBJA51</t>
  </si>
  <si>
    <t xml:space="preserve">MS Plate 6mm thick - </t>
  </si>
  <si>
    <t>0 - 1000 kg/cm²</t>
  </si>
  <si>
    <t>∑ni [ Ki x Pdi x tanδ Asi+ α CiAsi ]</t>
  </si>
  <si>
    <t>Confirm Bore level</t>
  </si>
  <si>
    <t>Water Level</t>
  </si>
  <si>
    <t>Water table</t>
  </si>
  <si>
    <t xml:space="preserve">Near A1 side </t>
  </si>
  <si>
    <t>Bridge (HLB)</t>
  </si>
  <si>
    <t>Cauvery</t>
  </si>
  <si>
    <t>15 No's of pile
(Testing for Individual pile)</t>
  </si>
  <si>
    <t>01.08.2024</t>
  </si>
  <si>
    <t>Soft Disintegrated Rock</t>
  </si>
  <si>
    <t xml:space="preserve">Pile Top </t>
  </si>
  <si>
    <t xml:space="preserve">Ground level </t>
  </si>
  <si>
    <t>water table</t>
  </si>
  <si>
    <t>Max scour level</t>
  </si>
  <si>
    <t>Course sand</t>
  </si>
  <si>
    <t>Bulk Density
 t/m3</t>
  </si>
  <si>
    <t>Dry Density
Yd
(t/m3)</t>
  </si>
  <si>
    <t xml:space="preserve">Yb = 1.794 g/cc, Ø=23.3, C= 0 kN/m2, N=17
</t>
  </si>
  <si>
    <t xml:space="preserve">Yb = 1.784 g/cc, Ø=24.5, C= 0 kN/m2, N=19
</t>
  </si>
  <si>
    <t xml:space="preserve">Yb = 1.753 g/cc, Ø=26.7, C= 0 kN/m2, N=20
</t>
  </si>
  <si>
    <t xml:space="preserve">WPB-800x300x262.33 with web plate on both sides ( 12 mm thick Ms plate) &amp; Bottom Flange plate of 30 mm thick 330 mm wide. </t>
  </si>
  <si>
    <t>Jack 1 -TC/5575/2024-25/Dt.25.10.2024</t>
  </si>
  <si>
    <t>Jack 2 - TC/5580/2024-25/Dt.25.10.2024</t>
  </si>
  <si>
    <t xml:space="preserve">Yb = 1.651 g/cc, Ø=28.3, C= 0 kN/m2, N=22
</t>
  </si>
  <si>
    <t>Construction of High Level Bridge across Cauvery river ar km 315/6-316/2 of Chennai- Trichy-Dindugal road (SHU-9) in between Trichy and Srirangam</t>
  </si>
  <si>
    <t>Soil strata at founding level</t>
  </si>
  <si>
    <t>1500   x 1500 mm</t>
  </si>
  <si>
    <t>CSIOC/CAL/24-25/241021041
(S.No WIKA/EN837-1/9001XS13)</t>
  </si>
  <si>
    <t>21/10/2024</t>
  </si>
  <si>
    <t>21/10/2025</t>
  </si>
  <si>
    <t>CSIOC/
CAL/24-25/241018025</t>
  </si>
  <si>
    <t>CSIOC/
CAL/24-25/241018026</t>
  </si>
  <si>
    <t>CSIOC/
CAL/24-25/241018027</t>
  </si>
  <si>
    <t>CSIOC/
CAL/24-25/241018028</t>
  </si>
  <si>
    <t>CSIOC/
CAL/24-25/241018029</t>
  </si>
  <si>
    <t>CSIOC/
CAL/24-25/241018024</t>
  </si>
  <si>
    <t>CRBG25</t>
  </si>
  <si>
    <t>BNFH93</t>
  </si>
  <si>
    <t>Make - 1 to 6
Mitutuyoyo. All dial gauges are provided with magnetic stands</t>
  </si>
  <si>
    <t>3 dia  of Pile Edge (or) 3.600 m</t>
  </si>
  <si>
    <t>9x9x1.25x1.25x1.25</t>
  </si>
  <si>
    <t>8x8x1.25x1.25x0.625</t>
  </si>
  <si>
    <t>Total volume of blocks</t>
  </si>
  <si>
    <t>0.4*2500</t>
  </si>
  <si>
    <t>0.66*2500</t>
  </si>
  <si>
    <t>Wl</t>
  </si>
  <si>
    <t>(w</t>
  </si>
  <si>
    <t>l)</t>
  </si>
  <si>
    <t>W</t>
  </si>
  <si>
    <t>M * Y</t>
  </si>
  <si>
    <t>(33*3*3*3)</t>
  </si>
  <si>
    <t>.+</t>
  </si>
  <si>
    <t>Weight  of CC Blocks used</t>
  </si>
  <si>
    <t>shear  Stress         f</t>
  </si>
  <si>
    <t>F</t>
  </si>
  <si>
    <r>
      <t xml:space="preserve">A </t>
    </r>
    <r>
      <rPr>
        <vertAlign val="subscript"/>
        <sz val="14"/>
        <rFont val="Calibri"/>
        <family val="2"/>
        <scheme val="minor"/>
      </rPr>
      <t>web</t>
    </r>
  </si>
  <si>
    <t>Bending Stress         σ</t>
  </si>
  <si>
    <t xml:space="preserve">M </t>
  </si>
  <si>
    <t>σ</t>
  </si>
  <si>
    <t>Shear Stress            f</t>
  </si>
  <si>
    <t>Section modulus    Z</t>
  </si>
  <si>
    <t>18.10.2024</t>
  </si>
  <si>
    <t>18.10.2025</t>
  </si>
  <si>
    <t>Ch316.178 m</t>
  </si>
  <si>
    <t>Ch315.632m</t>
  </si>
  <si>
    <t>(Ch 315.622m)</t>
  </si>
  <si>
    <t>Max. Scour level</t>
  </si>
  <si>
    <t>Layer 1:</t>
  </si>
  <si>
    <t>Layer 4 :</t>
  </si>
  <si>
    <t>Size 1.25m * 125m * 1.25m</t>
  </si>
  <si>
    <t>Size 1.25m * 1.25m * 0.625m</t>
  </si>
  <si>
    <t>3.75m</t>
  </si>
  <si>
    <t>P15</t>
  </si>
  <si>
    <t>HIGHWAYS DEPARTMENT</t>
  </si>
  <si>
    <t>Tiruchirappalli (H)  C&amp;M</t>
  </si>
  <si>
    <t>High Level Bridge</t>
  </si>
  <si>
    <t xml:space="preserve">Type 1 - 1.00m * 1.00m * 1.25 m </t>
  </si>
  <si>
    <t xml:space="preserve">Type 2 - 1.25m * 1.25m * 0.625 m </t>
  </si>
  <si>
    <t>CHENNAI SIDE</t>
  </si>
  <si>
    <t>CHATHIRAM SIDE</t>
  </si>
  <si>
    <r>
      <t xml:space="preserve">(1 - Sin </t>
    </r>
    <r>
      <rPr>
        <sz val="14"/>
        <rFont val="Calibri"/>
        <family val="2"/>
      </rPr>
      <t>Ø / 1 + Sin Ø ) h / 2 x µ x tan Ø ¶ dh</t>
    </r>
  </si>
  <si>
    <r>
      <t xml:space="preserve">(1 - Sin </t>
    </r>
    <r>
      <rPr>
        <sz val="14"/>
        <rFont val="Calibri"/>
        <family val="2"/>
      </rPr>
      <t>32 / 1 + Sin 32 ) 2.58 / 2 x 1.80 x tan 32 x ¶ x 1.00 x 2.58</t>
    </r>
  </si>
  <si>
    <r>
      <t>I</t>
    </r>
    <r>
      <rPr>
        <vertAlign val="superscript"/>
        <sz val="14"/>
        <rFont val="Calibri"/>
        <family val="2"/>
        <scheme val="minor"/>
      </rPr>
      <t>st</t>
    </r>
    <r>
      <rPr>
        <sz val="14"/>
        <rFont val="Calibri"/>
        <family val="2"/>
        <scheme val="minor"/>
      </rPr>
      <t xml:space="preserve"> layer</t>
    </r>
  </si>
  <si>
    <r>
      <t>2</t>
    </r>
    <r>
      <rPr>
        <vertAlign val="superscript"/>
        <sz val="14"/>
        <rFont val="Calibri"/>
        <family val="2"/>
        <scheme val="minor"/>
      </rPr>
      <t>nd</t>
    </r>
    <r>
      <rPr>
        <sz val="14"/>
        <rFont val="Calibri"/>
        <family val="2"/>
        <scheme val="minor"/>
      </rPr>
      <t xml:space="preserve"> layer</t>
    </r>
  </si>
  <si>
    <r>
      <t>3</t>
    </r>
    <r>
      <rPr>
        <vertAlign val="superscript"/>
        <sz val="14"/>
        <rFont val="Calibri"/>
        <family val="2"/>
        <scheme val="minor"/>
      </rPr>
      <t>rd</t>
    </r>
    <r>
      <rPr>
        <sz val="14"/>
        <rFont val="Calibri"/>
        <family val="2"/>
        <scheme val="minor"/>
      </rPr>
      <t xml:space="preserve"> layer</t>
    </r>
  </si>
  <si>
    <r>
      <t>4</t>
    </r>
    <r>
      <rPr>
        <vertAlign val="superscript"/>
        <sz val="14"/>
        <rFont val="Calibri"/>
        <family val="2"/>
        <scheme val="minor"/>
      </rPr>
      <t>th</t>
    </r>
    <r>
      <rPr>
        <sz val="14"/>
        <rFont val="Calibri"/>
        <family val="2"/>
        <scheme val="minor"/>
      </rPr>
      <t xml:space="preserve"> layer</t>
    </r>
  </si>
  <si>
    <r>
      <t>l</t>
    </r>
    <r>
      <rPr>
        <vertAlign val="superscript"/>
        <sz val="14"/>
        <rFont val="Calibri"/>
        <family val="2"/>
        <scheme val="minor"/>
      </rPr>
      <t>2</t>
    </r>
  </si>
  <si>
    <r>
      <t xml:space="preserve">Bending Stress         </t>
    </r>
    <r>
      <rPr>
        <sz val="14"/>
        <rFont val="Calibri"/>
        <family val="2"/>
      </rPr>
      <t>σ</t>
    </r>
  </si>
  <si>
    <r>
      <t>1650kg/cm</t>
    </r>
    <r>
      <rPr>
        <sz val="14"/>
        <rFont val="Arial"/>
        <family val="2"/>
      </rPr>
      <t>²</t>
    </r>
    <r>
      <rPr>
        <sz val="14"/>
        <rFont val="Calibri"/>
        <family val="2"/>
      </rPr>
      <t>x1.25</t>
    </r>
  </si>
  <si>
    <r>
      <t>1000kg/cm</t>
    </r>
    <r>
      <rPr>
        <sz val="14"/>
        <rFont val="Arial"/>
        <family val="2"/>
      </rPr>
      <t>²</t>
    </r>
    <r>
      <rPr>
        <sz val="14"/>
        <rFont val="Calibri"/>
        <family val="2"/>
      </rPr>
      <t>x1.25</t>
    </r>
  </si>
  <si>
    <r>
      <t xml:space="preserve">Bending Stress          </t>
    </r>
    <r>
      <rPr>
        <sz val="14"/>
        <rFont val="Calibri"/>
        <family val="2"/>
      </rPr>
      <t>σ</t>
    </r>
  </si>
  <si>
    <r>
      <t>10</t>
    </r>
    <r>
      <rPr>
        <sz val="14"/>
        <rFont val="Calibri"/>
        <family val="2"/>
      </rPr>
      <t>⁵</t>
    </r>
  </si>
  <si>
    <r>
      <t>1650 Kg/cm</t>
    </r>
    <r>
      <rPr>
        <sz val="14"/>
        <rFont val="Arial"/>
        <family val="2"/>
      </rPr>
      <t>²</t>
    </r>
    <r>
      <rPr>
        <sz val="14"/>
        <rFont val="Calibri"/>
        <family val="2"/>
      </rPr>
      <t xml:space="preserve"> x 1.25</t>
    </r>
  </si>
  <si>
    <r>
      <t>1000 Kg/cm</t>
    </r>
    <r>
      <rPr>
        <sz val="14"/>
        <rFont val="Arial"/>
        <family val="2"/>
      </rPr>
      <t>²</t>
    </r>
    <r>
      <rPr>
        <sz val="14"/>
        <rFont val="Calibri"/>
        <family val="2"/>
      </rPr>
      <t xml:space="preserve"> x 1.25</t>
    </r>
  </si>
  <si>
    <r>
      <t>10</t>
    </r>
    <r>
      <rPr>
        <sz val="14"/>
        <rFont val="Calibri"/>
        <family val="2"/>
      </rPr>
      <t>⁵ x</t>
    </r>
  </si>
  <si>
    <r>
      <t>T</t>
    </r>
    <r>
      <rPr>
        <sz val="14"/>
        <rFont val="Calibri"/>
        <family val="2"/>
      </rPr>
      <t>f</t>
    </r>
  </si>
  <si>
    <r>
      <t>I</t>
    </r>
    <r>
      <rPr>
        <sz val="14"/>
        <rFont val="Calibri"/>
        <family val="2"/>
      </rPr>
      <t>xx</t>
    </r>
  </si>
  <si>
    <r>
      <t>1/12xbx(h</t>
    </r>
    <r>
      <rPr>
        <sz val="14"/>
        <rFont val="Calibri"/>
        <family val="2"/>
      </rPr>
      <t>³-h1³)+(1/2xTwxh1³)</t>
    </r>
  </si>
  <si>
    <r>
      <t>1/12x42x(70</t>
    </r>
    <r>
      <rPr>
        <sz val="14"/>
        <rFont val="Calibri"/>
        <family val="2"/>
      </rPr>
      <t>³-66³)+(1/12x1.6x66³)</t>
    </r>
  </si>
  <si>
    <r>
      <t>cm</t>
    </r>
    <r>
      <rPr>
        <sz val="14"/>
        <rFont val="Calibri"/>
        <family val="2"/>
      </rPr>
      <t>⁴</t>
    </r>
  </si>
  <si>
    <r>
      <t>46.97310</t>
    </r>
    <r>
      <rPr>
        <sz val="14"/>
        <rFont val="Calibri"/>
        <family val="2"/>
      </rPr>
      <t>³x(42x2x34)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</si>
</sst>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">
    <numFmt numFmtId="164" formatCode="0.000"/>
    <numFmt numFmtId="165" formatCode="0.000\ &quot;m&quot;"/>
    <numFmt numFmtId="166" formatCode="&quot;RL (+)&quot;\ 0.000\ &quot;m&quot;"/>
    <numFmt numFmtId="167" formatCode="0.0000"/>
    <numFmt numFmtId="168" formatCode="0.0"/>
    <numFmt numFmtId="169" formatCode="0\ &quot;mm&quot;"/>
    <numFmt numFmtId="170" formatCode="0.00\ &quot;cm2&quot;"/>
    <numFmt numFmtId="171" formatCode="0\ &quot;kN&quot;"/>
    <numFmt numFmtId="172" formatCode="0.000\ &quot;MT&quot;"/>
    <numFmt numFmtId="173" formatCode="0.000&quot; m&quot;"/>
    <numFmt numFmtId="174" formatCode="&quot;(+)&quot;0.000"/>
    <numFmt numFmtId="175" formatCode="0.000\ &quot;cm3&quot;"/>
    <numFmt numFmtId="176" formatCode="0.00\ &quot;cum&quot;"/>
    <numFmt numFmtId="177" formatCode="0&quot; kN&quot;"/>
    <numFmt numFmtId="178" formatCode="0.000&quot; kN&quot;"/>
    <numFmt numFmtId="179" formatCode="0.000&quot; MT&quot;"/>
    <numFmt numFmtId="180" formatCode="0\ &quot;Nos&quot;"/>
    <numFmt numFmtId="181" formatCode="0.00\ &quot;m&quot;"/>
    <numFmt numFmtId="182" formatCode="0.0\ &quot;mm&quot;"/>
    <numFmt numFmtId="183" formatCode="0.000\ &quot;cm2&quot;"/>
    <numFmt numFmtId="184" formatCode="0.000&quot;m&quot;"/>
  </numFmts>
  <fonts count="7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u/>
      <sz val="12"/>
      <color theme="1"/>
      <name val="Times New Roman"/>
      <family val="1"/>
    </font>
    <font>
      <sz val="8"/>
      <color theme="1"/>
      <name val="Times New Roman"/>
      <family val="1"/>
    </font>
    <font>
      <sz val="7.5"/>
      <color theme="1"/>
      <name val="Times New Roman"/>
      <family val="1"/>
    </font>
    <font>
      <sz val="9"/>
      <color theme="1"/>
      <name val="Times New Roman"/>
      <family val="1"/>
    </font>
    <font>
      <b/>
      <sz val="8"/>
      <color theme="1"/>
      <name val="Times New Roman"/>
      <family val="1"/>
    </font>
    <font>
      <b/>
      <u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6"/>
      <color theme="1"/>
      <name val="Times New Roman"/>
      <family val="1"/>
    </font>
    <font>
      <sz val="8.5"/>
      <color theme="1"/>
      <name val="Times New Roman"/>
      <family val="1"/>
    </font>
    <font>
      <sz val="11"/>
      <color rgb="FF9C57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u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u val="double"/>
      <sz val="16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 tint="4.9989318521683403E-2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0"/>
      <color theme="1"/>
      <name val="Times New Roman"/>
      <family val="1"/>
    </font>
    <font>
      <sz val="7.5"/>
      <color theme="0"/>
      <name val="Times New Roman"/>
      <family val="1"/>
    </font>
    <font>
      <b/>
      <u/>
      <sz val="14"/>
      <color theme="1"/>
      <name val="Times New Roman"/>
      <family val="1"/>
    </font>
    <font>
      <sz val="12"/>
      <color rgb="FFFF0000"/>
      <name val="Times New Roman"/>
      <family val="1"/>
    </font>
    <font>
      <sz val="8"/>
      <color theme="0"/>
      <name val="Times New Roman"/>
      <family val="1"/>
    </font>
    <font>
      <sz val="24"/>
      <color rgb="FFFF0000"/>
      <name val="Times New Roman"/>
      <family val="1"/>
    </font>
    <font>
      <sz val="11"/>
      <color theme="1" tint="4.9989318521683403E-2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0" tint="-4.9989318521683403E-2"/>
      <name val="Times New Roman"/>
      <family val="1"/>
    </font>
    <font>
      <b/>
      <sz val="12"/>
      <color theme="0"/>
      <name val="Calibri"/>
      <family val="2"/>
      <scheme val="minor"/>
    </font>
    <font>
      <sz val="11.5"/>
      <color rgb="FF000000"/>
      <name val="Times New Roman"/>
      <family val="1"/>
    </font>
    <font>
      <b/>
      <sz val="11.5"/>
      <color theme="1"/>
      <name val="Times New Roman"/>
      <family val="1"/>
    </font>
    <font>
      <sz val="11.5"/>
      <color theme="1"/>
      <name val="Times New Roman"/>
      <family val="1"/>
    </font>
    <font>
      <b/>
      <sz val="11.5"/>
      <color rgb="FF000000"/>
      <name val="Times New Roman"/>
      <family val="1"/>
    </font>
    <font>
      <sz val="14"/>
      <name val="Calibri"/>
      <family val="2"/>
      <scheme val="minor"/>
    </font>
    <font>
      <vertAlign val="subscript"/>
      <sz val="14"/>
      <name val="Calibri"/>
      <family val="2"/>
      <scheme val="minor"/>
    </font>
    <font>
      <sz val="14"/>
      <name val="Calibri"/>
      <family val="2"/>
    </font>
    <font>
      <sz val="11"/>
      <name val="Times New Roman"/>
      <family val="1"/>
    </font>
    <font>
      <sz val="10.5"/>
      <name val="Times New Roman"/>
      <family val="1"/>
    </font>
    <font>
      <sz val="10"/>
      <name val="Times New Roman"/>
      <family val="1"/>
    </font>
    <font>
      <b/>
      <sz val="14"/>
      <name val="Arial"/>
      <family val="2"/>
    </font>
    <font>
      <b/>
      <u/>
      <sz val="14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Times New Roman"/>
      <family val="1"/>
    </font>
    <font>
      <b/>
      <sz val="14"/>
      <name val="Times New Roman"/>
      <family val="1"/>
    </font>
    <font>
      <vertAlign val="superscript"/>
      <sz val="14"/>
      <name val="Calibri"/>
      <family val="2"/>
      <scheme val="minor"/>
    </font>
    <font>
      <u/>
      <sz val="14"/>
      <name val="Calibri"/>
      <family val="2"/>
      <scheme val="minor"/>
    </font>
    <font>
      <sz val="14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2" tint="-9.9948118533890809E-2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6" fillId="3" borderId="0" applyNumberFormat="0" applyBorder="0" applyAlignment="0" applyProtection="0"/>
  </cellStyleXfs>
  <cellXfs count="639">
    <xf numFmtId="0" fontId="0" fillId="0" borderId="0" xfId="0"/>
    <xf numFmtId="0" fontId="3" fillId="0" borderId="0" xfId="0" applyFont="1"/>
    <xf numFmtId="0" fontId="2" fillId="0" borderId="1" xfId="1" applyNumberFormat="1" applyFont="1" applyBorder="1" applyAlignment="1">
      <alignment horizontal="center" vertical="center"/>
    </xf>
    <xf numFmtId="0" fontId="4" fillId="0" borderId="1" xfId="1" applyNumberFormat="1" applyFont="1" applyBorder="1" applyAlignment="1">
      <alignment vertical="center" wrapText="1"/>
    </xf>
    <xf numFmtId="0" fontId="4" fillId="0" borderId="1" xfId="1" applyNumberFormat="1" applyFont="1" applyBorder="1" applyAlignment="1">
      <alignment horizontal="center" vertical="center" wrapText="1"/>
    </xf>
    <xf numFmtId="0" fontId="2" fillId="0" borderId="1" xfId="1" applyNumberFormat="1" applyFont="1" applyBorder="1" applyAlignment="1">
      <alignment vertical="center" wrapText="1"/>
    </xf>
    <xf numFmtId="0" fontId="4" fillId="0" borderId="0" xfId="1" applyNumberFormat="1" applyFont="1" applyBorder="1" applyAlignment="1">
      <alignment horizontal="right" vertical="center"/>
    </xf>
    <xf numFmtId="0" fontId="3" fillId="0" borderId="0" xfId="1" applyNumberFormat="1" applyFont="1" applyAlignment="1">
      <alignment vertical="center"/>
    </xf>
    <xf numFmtId="0" fontId="4" fillId="0" borderId="0" xfId="1" applyNumberFormat="1" applyFont="1" applyAlignment="1">
      <alignment vertical="center" wrapText="1"/>
    </xf>
    <xf numFmtId="0" fontId="4" fillId="0" borderId="0" xfId="1" applyNumberFormat="1" applyFont="1" applyAlignment="1">
      <alignment vertical="center"/>
    </xf>
    <xf numFmtId="0" fontId="4" fillId="0" borderId="0" xfId="1" applyNumberFormat="1" applyFont="1" applyAlignment="1">
      <alignment horizontal="right" vertical="center"/>
    </xf>
    <xf numFmtId="9" fontId="3" fillId="0" borderId="0" xfId="1" applyFont="1" applyAlignment="1">
      <alignment vertical="center"/>
    </xf>
    <xf numFmtId="9" fontId="4" fillId="0" borderId="0" xfId="1" applyFont="1" applyAlignment="1">
      <alignment vertical="center" wrapText="1"/>
    </xf>
    <xf numFmtId="9" fontId="4" fillId="0" borderId="0" xfId="1" applyFont="1" applyAlignment="1">
      <alignment vertical="center"/>
    </xf>
    <xf numFmtId="9" fontId="4" fillId="0" borderId="0" xfId="1" applyFont="1" applyAlignment="1">
      <alignment horizontal="righ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1" applyNumberFormat="1" applyFont="1" applyBorder="1" applyAlignment="1">
      <alignment horizontal="left" vertical="top" wrapText="1"/>
    </xf>
    <xf numFmtId="0" fontId="5" fillId="0" borderId="0" xfId="0" applyFont="1" applyAlignment="1">
      <alignment horizontal="center" wrapText="1" shrinkToFit="1"/>
    </xf>
    <xf numFmtId="0" fontId="3" fillId="0" borderId="0" xfId="0" applyFont="1" applyAlignment="1">
      <alignment wrapText="1" shrinkToFit="1"/>
    </xf>
    <xf numFmtId="173" fontId="4" fillId="0" borderId="0" xfId="1" applyNumberFormat="1" applyFont="1" applyBorder="1" applyAlignment="1">
      <alignment horizontal="left" vertical="top" wrapText="1"/>
    </xf>
    <xf numFmtId="0" fontId="6" fillId="0" borderId="0" xfId="0" applyFont="1" applyAlignment="1">
      <alignment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 shrinkToFit="1"/>
    </xf>
    <xf numFmtId="0" fontId="3" fillId="0" borderId="0" xfId="0" applyFont="1" applyAlignment="1">
      <alignment vertical="center" wrapText="1" shrinkToFit="1"/>
    </xf>
    <xf numFmtId="174" fontId="6" fillId="0" borderId="0" xfId="0" applyNumberFormat="1" applyFont="1" applyAlignment="1">
      <alignment vertical="top" wrapText="1" shrinkToFit="1"/>
    </xf>
    <xf numFmtId="164" fontId="7" fillId="0" borderId="0" xfId="0" applyNumberFormat="1" applyFont="1" applyAlignment="1">
      <alignment horizontal="left" vertical="center" wrapText="1" shrinkToFit="1"/>
    </xf>
    <xf numFmtId="168" fontId="3" fillId="0" borderId="0" xfId="0" applyNumberFormat="1" applyFont="1" applyAlignment="1">
      <alignment wrapText="1" shrinkToFit="1"/>
    </xf>
    <xf numFmtId="0" fontId="11" fillId="0" borderId="0" xfId="0" applyFont="1" applyAlignment="1">
      <alignment wrapText="1" shrinkToFit="1"/>
    </xf>
    <xf numFmtId="0" fontId="14" fillId="0" borderId="1" xfId="0" applyFont="1" applyBorder="1" applyAlignment="1">
      <alignment horizontal="center" vertical="center" wrapText="1" shrinkToFit="1"/>
    </xf>
    <xf numFmtId="164" fontId="9" fillId="0" borderId="0" xfId="0" applyNumberFormat="1" applyFont="1" applyAlignment="1">
      <alignment horizontal="center" vertical="center" wrapText="1" shrinkToFit="1"/>
    </xf>
    <xf numFmtId="0" fontId="6" fillId="0" borderId="0" xfId="0" applyFont="1" applyAlignment="1">
      <alignment wrapText="1" shrinkToFit="1"/>
    </xf>
    <xf numFmtId="0" fontId="15" fillId="0" borderId="1" xfId="0" applyFont="1" applyBorder="1" applyAlignment="1">
      <alignment horizontal="center" vertical="center" wrapText="1" shrinkToFit="1"/>
    </xf>
    <xf numFmtId="164" fontId="15" fillId="0" borderId="1" xfId="0" applyNumberFormat="1" applyFont="1" applyBorder="1" applyAlignment="1">
      <alignment horizontal="center" vertical="center" wrapText="1" shrinkToFit="1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18" fillId="0" borderId="0" xfId="0" applyFont="1"/>
    <xf numFmtId="0" fontId="0" fillId="0" borderId="12" xfId="0" applyBorder="1"/>
    <xf numFmtId="0" fontId="22" fillId="0" borderId="0" xfId="0" applyFont="1"/>
    <xf numFmtId="0" fontId="0" fillId="0" borderId="0" xfId="0" applyAlignment="1">
      <alignment horizontal="center" vertical="center" wrapText="1" shrinkToFit="1"/>
    </xf>
    <xf numFmtId="0" fontId="24" fillId="0" borderId="0" xfId="0" applyFont="1" applyAlignment="1">
      <alignment horizontal="center" vertical="center" wrapText="1" shrinkToFit="1"/>
    </xf>
    <xf numFmtId="0" fontId="0" fillId="0" borderId="0" xfId="0" applyAlignment="1">
      <alignment horizontal="right" vertical="center" wrapText="1" shrinkToFit="1"/>
    </xf>
    <xf numFmtId="167" fontId="0" fillId="0" borderId="0" xfId="0" applyNumberFormat="1" applyAlignment="1">
      <alignment horizontal="center" vertical="center" wrapText="1" shrinkToFit="1"/>
    </xf>
    <xf numFmtId="0" fontId="0" fillId="0" borderId="0" xfId="0" applyAlignment="1">
      <alignment vertical="center" wrapText="1" shrinkToFit="1"/>
    </xf>
    <xf numFmtId="0" fontId="0" fillId="0" borderId="0" xfId="0" applyAlignment="1">
      <alignment horizontal="left" vertical="center" wrapText="1" shrinkToFit="1"/>
    </xf>
    <xf numFmtId="0" fontId="18" fillId="0" borderId="0" xfId="0" applyFont="1" applyAlignment="1">
      <alignment horizontal="center" vertical="center" wrapText="1" shrinkToFit="1"/>
    </xf>
    <xf numFmtId="0" fontId="0" fillId="0" borderId="9" xfId="0" applyBorder="1" applyAlignment="1">
      <alignment horizontal="center" vertical="center" wrapText="1" shrinkToFit="1"/>
    </xf>
    <xf numFmtId="0" fontId="6" fillId="0" borderId="0" xfId="0" applyFont="1" applyAlignment="1">
      <alignment horizontal="left" vertical="center" wrapText="1" shrinkToFit="1"/>
    </xf>
    <xf numFmtId="0" fontId="21" fillId="0" borderId="0" xfId="0" applyFont="1" applyAlignment="1">
      <alignment horizontal="center" vertical="center" wrapText="1" shrinkToFit="1"/>
    </xf>
    <xf numFmtId="164" fontId="3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vertical="center"/>
    </xf>
    <xf numFmtId="164" fontId="3" fillId="0" borderId="0" xfId="0" applyNumberFormat="1" applyFont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24" fillId="0" borderId="0" xfId="0" applyFont="1" applyAlignment="1">
      <alignment horizontal="left" vertical="center" wrapText="1" shrinkToFit="1"/>
    </xf>
    <xf numFmtId="0" fontId="0" fillId="0" borderId="20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19" fillId="0" borderId="0" xfId="0" applyFont="1"/>
    <xf numFmtId="0" fontId="30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30" fillId="0" borderId="0" xfId="0" applyFont="1"/>
    <xf numFmtId="0" fontId="31" fillId="0" borderId="0" xfId="0" applyFont="1"/>
    <xf numFmtId="0" fontId="32" fillId="0" borderId="0" xfId="0" applyFont="1"/>
    <xf numFmtId="0" fontId="31" fillId="0" borderId="0" xfId="0" applyFont="1" applyAlignment="1">
      <alignment vertical="center" wrapText="1" shrinkToFit="1"/>
    </xf>
    <xf numFmtId="0" fontId="32" fillId="6" borderId="26" xfId="0" applyFont="1" applyFill="1" applyBorder="1"/>
    <xf numFmtId="0" fontId="32" fillId="6" borderId="28" xfId="0" applyFont="1" applyFill="1" applyBorder="1"/>
    <xf numFmtId="0" fontId="33" fillId="4" borderId="0" xfId="0" applyFont="1" applyFill="1"/>
    <xf numFmtId="0" fontId="32" fillId="0" borderId="0" xfId="0" applyFont="1" applyAlignment="1">
      <alignment vertical="center"/>
    </xf>
    <xf numFmtId="0" fontId="34" fillId="0" borderId="0" xfId="0" applyFont="1"/>
    <xf numFmtId="0" fontId="32" fillId="0" borderId="0" xfId="0" applyFont="1" applyAlignment="1">
      <alignment horizontal="center"/>
    </xf>
    <xf numFmtId="0" fontId="35" fillId="0" borderId="0" xfId="0" applyFont="1"/>
    <xf numFmtId="0" fontId="36" fillId="0" borderId="0" xfId="0" applyFont="1"/>
    <xf numFmtId="164" fontId="6" fillId="0" borderId="0" xfId="0" applyNumberFormat="1" applyFont="1" applyAlignment="1">
      <alignment horizontal="center" vertical="center" textRotation="90" wrapText="1" shrinkToFit="1"/>
    </xf>
    <xf numFmtId="0" fontId="8" fillId="0" borderId="0" xfId="0" applyFont="1" applyAlignment="1">
      <alignment wrapText="1" shrinkToFit="1"/>
    </xf>
    <xf numFmtId="0" fontId="12" fillId="0" borderId="0" xfId="1" applyNumberFormat="1" applyFont="1" applyBorder="1" applyAlignment="1">
      <alignment vertical="top" wrapText="1"/>
    </xf>
    <xf numFmtId="173" fontId="12" fillId="0" borderId="0" xfId="1" applyNumberFormat="1" applyFont="1" applyBorder="1" applyAlignment="1">
      <alignment vertical="top" wrapText="1"/>
    </xf>
    <xf numFmtId="0" fontId="10" fillId="0" borderId="0" xfId="0" applyFont="1" applyAlignment="1">
      <alignment wrapText="1" shrinkToFit="1"/>
    </xf>
    <xf numFmtId="0" fontId="37" fillId="0" borderId="0" xfId="0" applyFont="1"/>
    <xf numFmtId="2" fontId="37" fillId="0" borderId="0" xfId="0" applyNumberFormat="1" applyFont="1"/>
    <xf numFmtId="164" fontId="37" fillId="0" borderId="0" xfId="0" applyNumberFormat="1" applyFont="1"/>
    <xf numFmtId="0" fontId="37" fillId="0" borderId="0" xfId="0" applyFont="1" applyAlignment="1">
      <alignment vertical="center"/>
    </xf>
    <xf numFmtId="164" fontId="37" fillId="0" borderId="0" xfId="0" applyNumberFormat="1" applyFont="1" applyAlignment="1">
      <alignment vertical="center"/>
    </xf>
    <xf numFmtId="1" fontId="40" fillId="0" borderId="22" xfId="0" applyNumberFormat="1" applyFont="1" applyBorder="1" applyAlignment="1">
      <alignment horizontal="center" vertical="center"/>
    </xf>
    <xf numFmtId="168" fontId="37" fillId="0" borderId="22" xfId="0" applyNumberFormat="1" applyFont="1" applyBorder="1" applyAlignment="1">
      <alignment horizontal="center" vertical="center"/>
    </xf>
    <xf numFmtId="1" fontId="40" fillId="0" borderId="23" xfId="0" applyNumberFormat="1" applyFont="1" applyBorder="1" applyAlignment="1">
      <alignment horizontal="center" vertical="center"/>
    </xf>
    <xf numFmtId="168" fontId="37" fillId="0" borderId="23" xfId="0" applyNumberFormat="1" applyFont="1" applyBorder="1" applyAlignment="1">
      <alignment horizontal="center" vertical="center"/>
    </xf>
    <xf numFmtId="1" fontId="40" fillId="0" borderId="24" xfId="0" applyNumberFormat="1" applyFont="1" applyBorder="1" applyAlignment="1">
      <alignment horizontal="center" vertical="center"/>
    </xf>
    <xf numFmtId="168" fontId="37" fillId="0" borderId="24" xfId="0" applyNumberFormat="1" applyFont="1" applyBorder="1" applyAlignment="1">
      <alignment horizontal="center" vertical="center"/>
    </xf>
    <xf numFmtId="168" fontId="37" fillId="0" borderId="24" xfId="0" applyNumberFormat="1" applyFont="1" applyBorder="1" applyAlignment="1">
      <alignment horizontal="center"/>
    </xf>
    <xf numFmtId="0" fontId="37" fillId="0" borderId="1" xfId="0" applyFont="1" applyBorder="1"/>
    <xf numFmtId="168" fontId="40" fillId="0" borderId="1" xfId="0" applyNumberFormat="1" applyFont="1" applyBorder="1" applyAlignment="1" applyProtection="1">
      <alignment horizontal="center" vertical="center"/>
      <protection locked="0"/>
    </xf>
    <xf numFmtId="2" fontId="40" fillId="0" borderId="1" xfId="0" applyNumberFormat="1" applyFont="1" applyBorder="1" applyAlignment="1" applyProtection="1">
      <alignment horizontal="center" vertical="center"/>
      <protection locked="0"/>
    </xf>
    <xf numFmtId="168" fontId="37" fillId="0" borderId="0" xfId="0" applyNumberFormat="1" applyFont="1"/>
    <xf numFmtId="164" fontId="38" fillId="0" borderId="0" xfId="0" applyNumberFormat="1" applyFont="1"/>
    <xf numFmtId="2" fontId="37" fillId="0" borderId="0" xfId="0" applyNumberFormat="1" applyFont="1" applyAlignment="1">
      <alignment horizontal="right"/>
    </xf>
    <xf numFmtId="0" fontId="41" fillId="0" borderId="0" xfId="0" applyFont="1" applyAlignment="1">
      <alignment vertical="center"/>
    </xf>
    <xf numFmtId="0" fontId="41" fillId="0" borderId="0" xfId="0" applyFont="1" applyAlignment="1">
      <alignment horizontal="center" vertical="center"/>
    </xf>
    <xf numFmtId="0" fontId="42" fillId="0" borderId="0" xfId="0" applyFont="1"/>
    <xf numFmtId="0" fontId="41" fillId="0" borderId="0" xfId="0" applyFont="1"/>
    <xf numFmtId="0" fontId="18" fillId="0" borderId="0" xfId="0" applyFont="1" applyAlignment="1">
      <alignment horizontal="center" vertical="center"/>
    </xf>
    <xf numFmtId="164" fontId="6" fillId="0" borderId="0" xfId="0" applyNumberFormat="1" applyFont="1" applyAlignment="1">
      <alignment vertical="center" textRotation="90" wrapText="1" shrinkToFit="1"/>
    </xf>
    <xf numFmtId="2" fontId="15" fillId="0" borderId="1" xfId="0" applyNumberFormat="1" applyFont="1" applyBorder="1" applyAlignment="1">
      <alignment horizontal="center" vertical="center" wrapText="1" shrinkToFit="1"/>
    </xf>
    <xf numFmtId="0" fontId="3" fillId="0" borderId="0" xfId="0" applyFont="1" applyAlignment="1">
      <alignment horizontal="right" vertical="center" wrapText="1" shrinkToFit="1"/>
    </xf>
    <xf numFmtId="0" fontId="3" fillId="0" borderId="0" xfId="0" applyFont="1" applyAlignment="1">
      <alignment horizontal="left" vertical="center" wrapText="1" shrinkToFit="1"/>
    </xf>
    <xf numFmtId="0" fontId="22" fillId="0" borderId="0" xfId="0" applyFont="1" applyAlignment="1">
      <alignment horizontal="left" vertical="center" wrapText="1" shrinkToFit="1"/>
    </xf>
    <xf numFmtId="177" fontId="3" fillId="0" borderId="0" xfId="0" applyNumberFormat="1" applyFont="1" applyAlignment="1">
      <alignment horizontal="left" vertical="center" wrapText="1" shrinkToFit="1"/>
    </xf>
    <xf numFmtId="177" fontId="22" fillId="0" borderId="0" xfId="0" applyNumberFormat="1" applyFont="1" applyAlignment="1">
      <alignment horizontal="left" vertical="center" wrapText="1" shrinkToFit="1"/>
    </xf>
    <xf numFmtId="178" fontId="3" fillId="0" borderId="0" xfId="0" applyNumberFormat="1" applyFont="1" applyAlignment="1">
      <alignment horizontal="left" vertical="center" wrapText="1" shrinkToFit="1"/>
    </xf>
    <xf numFmtId="0" fontId="32" fillId="0" borderId="0" xfId="0" applyFont="1" applyAlignment="1">
      <alignment wrapText="1"/>
    </xf>
    <xf numFmtId="0" fontId="0" fillId="0" borderId="0" xfId="0" applyAlignment="1">
      <alignment wrapText="1"/>
    </xf>
    <xf numFmtId="164" fontId="3" fillId="0" borderId="1" xfId="0" applyNumberFormat="1" applyFont="1" applyBorder="1" applyAlignment="1">
      <alignment horizontal="center" vertical="center" wrapText="1" shrinkToFit="1"/>
    </xf>
    <xf numFmtId="0" fontId="22" fillId="0" borderId="1" xfId="0" applyFont="1" applyBorder="1" applyAlignment="1">
      <alignment horizontal="center" vertical="center" wrapText="1" shrinkToFit="1"/>
    </xf>
    <xf numFmtId="164" fontId="22" fillId="0" borderId="1" xfId="0" applyNumberFormat="1" applyFont="1" applyBorder="1" applyAlignment="1">
      <alignment horizontal="center" vertical="center" wrapText="1" shrinkToFit="1"/>
    </xf>
    <xf numFmtId="0" fontId="46" fillId="0" borderId="0" xfId="0" applyFont="1" applyAlignment="1">
      <alignment horizontal="left" vertical="center" wrapText="1" shrinkToFit="1"/>
    </xf>
    <xf numFmtId="165" fontId="3" fillId="0" borderId="0" xfId="0" applyNumberFormat="1" applyFont="1" applyAlignment="1">
      <alignment horizontal="left" vertical="center" wrapText="1" shrinkToFit="1"/>
    </xf>
    <xf numFmtId="179" fontId="22" fillId="0" borderId="0" xfId="0" applyNumberFormat="1" applyFont="1" applyAlignment="1">
      <alignment horizontal="left" vertical="center" wrapText="1" shrinkToFit="1"/>
    </xf>
    <xf numFmtId="179" fontId="3" fillId="0" borderId="0" xfId="0" applyNumberFormat="1" applyFont="1" applyAlignment="1">
      <alignment horizontal="left" vertical="center" wrapText="1" shrinkToFit="1"/>
    </xf>
    <xf numFmtId="164" fontId="0" fillId="0" borderId="0" xfId="0" applyNumberFormat="1" applyAlignment="1">
      <alignment horizontal="center" vertical="center" wrapText="1" shrinkToFit="1"/>
    </xf>
    <xf numFmtId="164" fontId="18" fillId="0" borderId="0" xfId="0" applyNumberFormat="1" applyFont="1" applyAlignment="1">
      <alignment horizontal="center" vertical="center" wrapText="1" shrinkToFit="1"/>
    </xf>
    <xf numFmtId="0" fontId="46" fillId="0" borderId="0" xfId="0" applyFont="1" applyAlignment="1">
      <alignment vertical="center" wrapText="1" shrinkToFit="1"/>
    </xf>
    <xf numFmtId="174" fontId="47" fillId="0" borderId="0" xfId="0" applyNumberFormat="1" applyFont="1" applyAlignment="1">
      <alignment vertical="top" wrapText="1" shrinkToFit="1"/>
    </xf>
    <xf numFmtId="164" fontId="44" fillId="4" borderId="0" xfId="0" applyNumberFormat="1" applyFont="1" applyFill="1" applyAlignment="1">
      <alignment horizontal="left" vertical="center" wrapText="1" shrinkToFit="1"/>
    </xf>
    <xf numFmtId="165" fontId="3" fillId="0" borderId="0" xfId="0" applyNumberFormat="1" applyFont="1" applyAlignment="1">
      <alignment wrapText="1" shrinkToFit="1"/>
    </xf>
    <xf numFmtId="166" fontId="3" fillId="0" borderId="0" xfId="0" applyNumberFormat="1" applyFont="1" applyAlignment="1">
      <alignment vertical="center"/>
    </xf>
    <xf numFmtId="164" fontId="3" fillId="0" borderId="0" xfId="0" applyNumberFormat="1" applyFont="1" applyAlignment="1">
      <alignment wrapText="1" shrinkToFit="1"/>
    </xf>
    <xf numFmtId="164" fontId="32" fillId="0" borderId="0" xfId="0" applyNumberFormat="1" applyFont="1"/>
    <xf numFmtId="164" fontId="0" fillId="0" borderId="0" xfId="0" applyNumberFormat="1"/>
    <xf numFmtId="164" fontId="9" fillId="0" borderId="0" xfId="0" applyNumberFormat="1" applyFont="1" applyAlignment="1">
      <alignment horizontal="center" vertical="top" wrapText="1" shrinkToFit="1"/>
    </xf>
    <xf numFmtId="0" fontId="9" fillId="0" borderId="0" xfId="0" applyFont="1" applyAlignment="1">
      <alignment vertical="top" wrapText="1" shrinkToFit="1"/>
    </xf>
    <xf numFmtId="1" fontId="9" fillId="0" borderId="0" xfId="0" applyNumberFormat="1" applyFont="1" applyAlignment="1">
      <alignment horizontal="center" vertical="top" wrapText="1" shrinkToFit="1"/>
    </xf>
    <xf numFmtId="0" fontId="23" fillId="0" borderId="0" xfId="0" applyFont="1" applyAlignment="1">
      <alignment vertical="center" wrapText="1" shrinkToFit="1"/>
    </xf>
    <xf numFmtId="0" fontId="48" fillId="5" borderId="0" xfId="0" applyFont="1" applyFill="1" applyAlignment="1">
      <alignment vertical="center"/>
    </xf>
    <xf numFmtId="0" fontId="49" fillId="0" borderId="0" xfId="0" applyFont="1"/>
    <xf numFmtId="0" fontId="8" fillId="0" borderId="0" xfId="0" applyFont="1" applyAlignment="1">
      <alignment horizontal="left" wrapText="1" shrinkToFit="1"/>
    </xf>
    <xf numFmtId="0" fontId="18" fillId="0" borderId="0" xfId="0" applyFont="1" applyAlignment="1">
      <alignment horizontal="right" vertical="center" wrapText="1" shrinkToFit="1"/>
    </xf>
    <xf numFmtId="0" fontId="22" fillId="0" borderId="0" xfId="0" applyFont="1" applyAlignment="1">
      <alignment horizontal="center" vertical="center" wrapText="1" shrinkToFit="1"/>
    </xf>
    <xf numFmtId="2" fontId="32" fillId="0" borderId="0" xfId="0" applyNumberFormat="1" applyFont="1"/>
    <xf numFmtId="9" fontId="2" fillId="0" borderId="0" xfId="1" applyFont="1" applyAlignment="1">
      <alignment horizontal="center" vertical="center" wrapText="1"/>
    </xf>
    <xf numFmtId="0" fontId="4" fillId="0" borderId="0" xfId="1" applyNumberFormat="1" applyFont="1" applyAlignment="1">
      <alignment horizontal="center" vertical="center" wrapText="1"/>
    </xf>
    <xf numFmtId="0" fontId="2" fillId="0" borderId="0" xfId="1" applyNumberFormat="1" applyFont="1" applyAlignment="1">
      <alignment horizontal="center" vertical="center" wrapText="1"/>
    </xf>
    <xf numFmtId="0" fontId="2" fillId="0" borderId="0" xfId="1" applyNumberFormat="1" applyFont="1" applyBorder="1" applyAlignment="1">
      <alignment horizontal="center" vertical="center"/>
    </xf>
    <xf numFmtId="0" fontId="4" fillId="0" borderId="0" xfId="1" applyNumberFormat="1" applyFont="1" applyBorder="1" applyAlignment="1">
      <alignment horizontal="center" vertical="center" wrapText="1"/>
    </xf>
    <xf numFmtId="0" fontId="4" fillId="0" borderId="0" xfId="1" applyNumberFormat="1" applyFont="1" applyBorder="1" applyAlignment="1">
      <alignment horizontal="left" vertical="center" wrapText="1"/>
    </xf>
    <xf numFmtId="0" fontId="2" fillId="0" borderId="0" xfId="1" applyNumberFormat="1" applyFont="1" applyBorder="1" applyAlignment="1">
      <alignment horizontal="center" vertical="center" wrapText="1"/>
    </xf>
    <xf numFmtId="0" fontId="4" fillId="4" borderId="0" xfId="1" applyNumberFormat="1" applyFont="1" applyFill="1" applyBorder="1" applyAlignment="1">
      <alignment horizontal="center" vertical="center" wrapText="1"/>
    </xf>
    <xf numFmtId="165" fontId="4" fillId="4" borderId="0" xfId="1" applyNumberFormat="1" applyFont="1" applyFill="1" applyBorder="1" applyAlignment="1">
      <alignment horizontal="center" vertical="center" wrapText="1"/>
    </xf>
    <xf numFmtId="166" fontId="4" fillId="4" borderId="0" xfId="1" applyNumberFormat="1" applyFont="1" applyFill="1" applyBorder="1" applyAlignment="1">
      <alignment horizontal="center" vertical="center" wrapText="1"/>
    </xf>
    <xf numFmtId="164" fontId="4" fillId="4" borderId="0" xfId="1" applyNumberFormat="1" applyFont="1" applyFill="1" applyBorder="1" applyAlignment="1">
      <alignment horizontal="center" vertical="center" wrapText="1"/>
    </xf>
    <xf numFmtId="171" fontId="4" fillId="4" borderId="0" xfId="1" applyNumberFormat="1" applyFont="1" applyFill="1" applyBorder="1" applyAlignment="1">
      <alignment horizontal="center" vertical="center" wrapText="1"/>
    </xf>
    <xf numFmtId="0" fontId="4" fillId="0" borderId="0" xfId="1" applyNumberFormat="1" applyFont="1" applyFill="1" applyBorder="1" applyAlignment="1">
      <alignment horizontal="center" vertical="center"/>
    </xf>
    <xf numFmtId="176" fontId="4" fillId="4" borderId="0" xfId="1" applyNumberFormat="1" applyFont="1" applyFill="1" applyBorder="1" applyAlignment="1">
      <alignment horizontal="center" vertical="center" wrapText="1" shrinkToFit="1"/>
    </xf>
    <xf numFmtId="49" fontId="4" fillId="0" borderId="0" xfId="1" applyNumberFormat="1" applyFont="1" applyFill="1" applyBorder="1" applyAlignment="1">
      <alignment horizontal="center" vertical="center" wrapText="1" shrinkToFit="1"/>
    </xf>
    <xf numFmtId="0" fontId="4" fillId="4" borderId="0" xfId="1" applyNumberFormat="1" applyFont="1" applyFill="1" applyBorder="1" applyAlignment="1">
      <alignment horizontal="center" vertical="center"/>
    </xf>
    <xf numFmtId="172" fontId="4" fillId="4" borderId="0" xfId="1" applyNumberFormat="1" applyFont="1" applyFill="1" applyBorder="1" applyAlignment="1">
      <alignment horizontal="center" vertical="center" wrapText="1"/>
    </xf>
    <xf numFmtId="165" fontId="4" fillId="4" borderId="0" xfId="1" applyNumberFormat="1" applyFont="1" applyFill="1" applyBorder="1" applyAlignment="1">
      <alignment horizontal="center" vertical="center"/>
    </xf>
    <xf numFmtId="166" fontId="4" fillId="4" borderId="0" xfId="1" applyNumberFormat="1" applyFont="1" applyFill="1" applyBorder="1" applyAlignment="1">
      <alignment horizontal="center" vertical="center"/>
    </xf>
    <xf numFmtId="0" fontId="4" fillId="0" borderId="0" xfId="1" applyNumberFormat="1" applyFont="1" applyFill="1" applyBorder="1" applyAlignment="1">
      <alignment horizontal="center" vertical="center" wrapText="1"/>
    </xf>
    <xf numFmtId="0" fontId="4" fillId="0" borderId="0" xfId="1" applyNumberFormat="1" applyFont="1" applyFill="1" applyBorder="1" applyAlignment="1">
      <alignment horizontal="center" vertical="center" wrapText="1" shrinkToFit="1"/>
    </xf>
    <xf numFmtId="172" fontId="4" fillId="0" borderId="0" xfId="1" applyNumberFormat="1" applyFont="1" applyFill="1" applyBorder="1" applyAlignment="1">
      <alignment horizontal="center" vertical="center" wrapText="1"/>
    </xf>
    <xf numFmtId="164" fontId="4" fillId="0" borderId="0" xfId="1" applyNumberFormat="1" applyFont="1" applyFill="1" applyBorder="1" applyAlignment="1">
      <alignment horizontal="center" vertical="center" wrapText="1"/>
    </xf>
    <xf numFmtId="164" fontId="4" fillId="0" borderId="0" xfId="1" applyNumberFormat="1" applyFont="1" applyFill="1" applyBorder="1" applyAlignment="1">
      <alignment horizontal="center" vertical="center"/>
    </xf>
    <xf numFmtId="0" fontId="4" fillId="0" borderId="0" xfId="1" applyNumberFormat="1" applyFont="1" applyBorder="1" applyAlignment="1">
      <alignment horizontal="center" vertical="center" wrapText="1" shrinkToFit="1"/>
    </xf>
    <xf numFmtId="182" fontId="4" fillId="0" borderId="0" xfId="1" applyNumberFormat="1" applyFont="1" applyBorder="1" applyAlignment="1">
      <alignment horizontal="center" vertical="center" wrapText="1"/>
    </xf>
    <xf numFmtId="180" fontId="4" fillId="0" borderId="0" xfId="1" applyNumberFormat="1" applyFont="1" applyBorder="1" applyAlignment="1">
      <alignment horizontal="center" vertical="center" wrapText="1"/>
    </xf>
    <xf numFmtId="169" fontId="4" fillId="0" borderId="0" xfId="1" applyNumberFormat="1" applyFont="1" applyFill="1" applyBorder="1" applyAlignment="1">
      <alignment horizontal="center" vertical="center" wrapText="1"/>
    </xf>
    <xf numFmtId="0" fontId="4" fillId="0" borderId="0" xfId="1" applyNumberFormat="1" applyFont="1" applyBorder="1" applyAlignment="1">
      <alignment horizontal="center" vertical="center"/>
    </xf>
    <xf numFmtId="0" fontId="6" fillId="0" borderId="0" xfId="0" quotePrefix="1" applyFont="1" applyAlignment="1">
      <alignment horizontal="center" vertical="center" wrapText="1" shrinkToFit="1"/>
    </xf>
    <xf numFmtId="167" fontId="3" fillId="0" borderId="0" xfId="0" applyNumberFormat="1" applyFont="1" applyAlignment="1">
      <alignment vertical="center"/>
    </xf>
    <xf numFmtId="0" fontId="22" fillId="0" borderId="0" xfId="0" applyFont="1" applyAlignment="1">
      <alignment wrapText="1" shrinkToFit="1"/>
    </xf>
    <xf numFmtId="0" fontId="20" fillId="0" borderId="0" xfId="0" applyFont="1" applyAlignment="1">
      <alignment vertical="center"/>
    </xf>
    <xf numFmtId="164" fontId="6" fillId="0" borderId="0" xfId="0" applyNumberFormat="1" applyFont="1" applyAlignment="1">
      <alignment wrapText="1" shrinkToFit="1"/>
    </xf>
    <xf numFmtId="0" fontId="6" fillId="0" borderId="0" xfId="0" applyFont="1" applyAlignment="1">
      <alignment horizontal="right" vertical="top" wrapText="1" shrinkToFit="1"/>
    </xf>
    <xf numFmtId="14" fontId="4" fillId="4" borderId="0" xfId="1" applyNumberFormat="1" applyFont="1" applyFill="1" applyBorder="1" applyAlignment="1">
      <alignment horizontal="center" vertical="center" wrapText="1"/>
    </xf>
    <xf numFmtId="0" fontId="43" fillId="0" borderId="0" xfId="0" applyFont="1" applyAlignment="1">
      <alignment horizontal="center" vertical="top" wrapText="1" shrinkToFit="1"/>
    </xf>
    <xf numFmtId="164" fontId="11" fillId="0" borderId="0" xfId="0" applyNumberFormat="1" applyFont="1" applyAlignment="1">
      <alignment wrapText="1" shrinkToFit="1"/>
    </xf>
    <xf numFmtId="0" fontId="18" fillId="0" borderId="0" xfId="0" applyFont="1" applyAlignment="1">
      <alignment horizontal="left" vertical="center" wrapText="1" shrinkToFit="1"/>
    </xf>
    <xf numFmtId="168" fontId="18" fillId="0" borderId="0" xfId="0" applyNumberFormat="1" applyFont="1" applyAlignment="1">
      <alignment horizontal="center" vertical="center" wrapText="1" shrinkToFit="1"/>
    </xf>
    <xf numFmtId="168" fontId="0" fillId="0" borderId="0" xfId="0" applyNumberFormat="1" applyAlignment="1">
      <alignment horizontal="center" vertical="center" wrapText="1" shrinkToFit="1"/>
    </xf>
    <xf numFmtId="1" fontId="21" fillId="0" borderId="0" xfId="0" applyNumberFormat="1" applyFont="1" applyAlignment="1">
      <alignment horizontal="center" vertical="center" wrapText="1" shrinkToFit="1"/>
    </xf>
    <xf numFmtId="0" fontId="18" fillId="0" borderId="0" xfId="0" applyFont="1" applyAlignment="1">
      <alignment horizontal="center" vertical="top" wrapText="1" shrinkToFit="1"/>
    </xf>
    <xf numFmtId="174" fontId="52" fillId="4" borderId="0" xfId="0" applyNumberFormat="1" applyFont="1" applyFill="1" applyAlignment="1">
      <alignment vertical="top" wrapText="1" shrinkToFit="1"/>
    </xf>
    <xf numFmtId="0" fontId="51" fillId="0" borderId="0" xfId="0" applyFont="1"/>
    <xf numFmtId="1" fontId="53" fillId="0" borderId="22" xfId="0" applyNumberFormat="1" applyFont="1" applyBorder="1" applyAlignment="1">
      <alignment horizontal="center" vertical="center"/>
    </xf>
    <xf numFmtId="168" fontId="51" fillId="0" borderId="22" xfId="0" applyNumberFormat="1" applyFont="1" applyBorder="1" applyAlignment="1">
      <alignment horizontal="center" vertical="center"/>
    </xf>
    <xf numFmtId="1" fontId="53" fillId="0" borderId="23" xfId="0" applyNumberFormat="1" applyFont="1" applyBorder="1" applyAlignment="1">
      <alignment horizontal="center" vertical="center"/>
    </xf>
    <xf numFmtId="168" fontId="51" fillId="0" borderId="23" xfId="0" applyNumberFormat="1" applyFont="1" applyBorder="1" applyAlignment="1">
      <alignment horizontal="center" vertical="center"/>
    </xf>
    <xf numFmtId="1" fontId="53" fillId="0" borderId="24" xfId="0" applyNumberFormat="1" applyFont="1" applyBorder="1" applyAlignment="1">
      <alignment horizontal="center" vertical="center"/>
    </xf>
    <xf numFmtId="168" fontId="51" fillId="0" borderId="24" xfId="0" applyNumberFormat="1" applyFont="1" applyBorder="1" applyAlignment="1">
      <alignment horizontal="center" vertical="center"/>
    </xf>
    <xf numFmtId="2" fontId="51" fillId="0" borderId="0" xfId="0" applyNumberFormat="1" applyFont="1"/>
    <xf numFmtId="164" fontId="51" fillId="0" borderId="0" xfId="0" applyNumberFormat="1" applyFont="1"/>
    <xf numFmtId="168" fontId="51" fillId="0" borderId="24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20" fillId="0" borderId="0" xfId="0" applyFont="1" applyAlignment="1">
      <alignment horizontal="left" vertical="top" wrapText="1" shrinkToFit="1"/>
    </xf>
    <xf numFmtId="0" fontId="35" fillId="0" borderId="0" xfId="0" applyFont="1" applyAlignment="1">
      <alignment horizontal="center"/>
    </xf>
    <xf numFmtId="0" fontId="54" fillId="0" borderId="0" xfId="1" applyNumberFormat="1" applyFont="1" applyBorder="1" applyAlignment="1">
      <alignment horizontal="right" vertical="center"/>
    </xf>
    <xf numFmtId="0" fontId="54" fillId="0" borderId="0" xfId="1" applyNumberFormat="1" applyFont="1" applyAlignment="1">
      <alignment vertical="center" wrapText="1"/>
    </xf>
    <xf numFmtId="0" fontId="54" fillId="0" borderId="0" xfId="1" applyNumberFormat="1" applyFont="1" applyAlignment="1">
      <alignment vertical="center"/>
    </xf>
    <xf numFmtId="0" fontId="56" fillId="0" borderId="0" xfId="0" applyFont="1" applyAlignment="1">
      <alignment vertical="center"/>
    </xf>
    <xf numFmtId="0" fontId="56" fillId="0" borderId="0" xfId="1" applyNumberFormat="1" applyFont="1" applyAlignment="1">
      <alignment vertical="center"/>
    </xf>
    <xf numFmtId="0" fontId="27" fillId="0" borderId="0" xfId="1" applyNumberFormat="1" applyFont="1" applyBorder="1" applyAlignment="1">
      <alignment horizontal="right" vertical="center"/>
    </xf>
    <xf numFmtId="0" fontId="30" fillId="0" borderId="0" xfId="1" applyNumberFormat="1" applyFont="1" applyAlignment="1">
      <alignment horizontal="center" vertical="center"/>
    </xf>
    <xf numFmtId="0" fontId="27" fillId="0" borderId="0" xfId="1" applyNumberFormat="1" applyFont="1" applyAlignment="1">
      <alignment vertical="center" wrapText="1"/>
    </xf>
    <xf numFmtId="0" fontId="28" fillId="0" borderId="0" xfId="0" applyFont="1" applyAlignment="1">
      <alignment wrapText="1" shrinkToFit="1"/>
    </xf>
    <xf numFmtId="0" fontId="30" fillId="0" borderId="0" xfId="0" applyFont="1" applyAlignment="1">
      <alignment wrapText="1" shrinkToFit="1"/>
    </xf>
    <xf numFmtId="0" fontId="0" fillId="0" borderId="0" xfId="0" applyAlignment="1">
      <alignment horizontal="center" vertical="top"/>
    </xf>
    <xf numFmtId="164" fontId="43" fillId="4" borderId="3" xfId="0" applyNumberFormat="1" applyFont="1" applyFill="1" applyBorder="1" applyAlignment="1">
      <alignment horizontal="center" vertical="center" wrapText="1" shrinkToFit="1"/>
    </xf>
    <xf numFmtId="0" fontId="8" fillId="0" borderId="0" xfId="0" applyFont="1" applyAlignment="1">
      <alignment vertical="center" wrapText="1" shrinkToFit="1"/>
    </xf>
    <xf numFmtId="166" fontId="11" fillId="0" borderId="0" xfId="0" applyNumberFormat="1" applyFont="1" applyAlignment="1">
      <alignment vertical="center"/>
    </xf>
    <xf numFmtId="2" fontId="7" fillId="0" borderId="0" xfId="0" applyNumberFormat="1" applyFont="1" applyAlignment="1">
      <alignment horizontal="left" vertical="center" wrapText="1" shrinkToFit="1"/>
    </xf>
    <xf numFmtId="164" fontId="6" fillId="0" borderId="0" xfId="0" applyNumberFormat="1" applyFont="1" applyAlignment="1">
      <alignment horizontal="center" vertical="center" wrapText="1" shrinkToFit="1"/>
    </xf>
    <xf numFmtId="165" fontId="7" fillId="0" borderId="0" xfId="0" applyNumberFormat="1" applyFont="1" applyAlignment="1">
      <alignment horizontal="center" wrapText="1" shrinkToFit="1"/>
    </xf>
    <xf numFmtId="0" fontId="46" fillId="0" borderId="0" xfId="1" applyNumberFormat="1" applyFont="1" applyBorder="1" applyAlignment="1">
      <alignment horizontal="center" vertical="center"/>
    </xf>
    <xf numFmtId="0" fontId="46" fillId="0" borderId="0" xfId="0" applyFont="1" applyAlignment="1">
      <alignment vertical="center"/>
    </xf>
    <xf numFmtId="0" fontId="46" fillId="0" borderId="0" xfId="1" applyNumberFormat="1" applyFont="1" applyFill="1" applyBorder="1" applyAlignment="1">
      <alignment horizontal="center" vertical="center" wrapText="1"/>
    </xf>
    <xf numFmtId="0" fontId="46" fillId="0" borderId="0" xfId="0" applyFont="1" applyAlignment="1">
      <alignment horizontal="center" vertical="center"/>
    </xf>
    <xf numFmtId="169" fontId="46" fillId="0" borderId="0" xfId="1" applyNumberFormat="1" applyFont="1" applyFill="1" applyBorder="1" applyAlignment="1">
      <alignment horizontal="center" vertical="center"/>
    </xf>
    <xf numFmtId="170" fontId="46" fillId="0" borderId="0" xfId="1" applyNumberFormat="1" applyFont="1" applyFill="1" applyBorder="1" applyAlignment="1">
      <alignment horizontal="center" vertical="center"/>
    </xf>
    <xf numFmtId="0" fontId="46" fillId="0" borderId="0" xfId="1" applyNumberFormat="1" applyFont="1" applyFill="1" applyBorder="1" applyAlignment="1">
      <alignment horizontal="center" vertical="center" wrapText="1" shrinkToFit="1"/>
    </xf>
    <xf numFmtId="1" fontId="4" fillId="0" borderId="1" xfId="1" applyNumberFormat="1" applyFont="1" applyBorder="1" applyAlignment="1">
      <alignment horizontal="center" vertical="center"/>
    </xf>
    <xf numFmtId="2" fontId="37" fillId="0" borderId="0" xfId="0" applyNumberFormat="1" applyFont="1" applyAlignment="1">
      <alignment horizontal="left"/>
    </xf>
    <xf numFmtId="1" fontId="37" fillId="0" borderId="0" xfId="0" applyNumberFormat="1" applyFont="1" applyAlignment="1">
      <alignment horizontal="center"/>
    </xf>
    <xf numFmtId="2" fontId="37" fillId="0" borderId="0" xfId="0" applyNumberFormat="1" applyFont="1" applyAlignment="1">
      <alignment horizontal="center"/>
    </xf>
    <xf numFmtId="0" fontId="22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 shrinkToFit="1"/>
    </xf>
    <xf numFmtId="0" fontId="0" fillId="0" borderId="0" xfId="0" applyAlignment="1">
      <alignment horizontal="left" vertical="center"/>
    </xf>
    <xf numFmtId="0" fontId="4" fillId="4" borderId="1" xfId="1" applyNumberFormat="1" applyFont="1" applyFill="1" applyBorder="1" applyAlignment="1">
      <alignment vertical="center" wrapText="1"/>
    </xf>
    <xf numFmtId="1" fontId="42" fillId="0" borderId="1" xfId="1" applyNumberFormat="1" applyFont="1" applyBorder="1" applyAlignment="1">
      <alignment horizontal="center" vertical="center"/>
    </xf>
    <xf numFmtId="0" fontId="42" fillId="0" borderId="1" xfId="1" applyNumberFormat="1" applyFont="1" applyBorder="1" applyAlignment="1">
      <alignment vertical="center" wrapText="1"/>
    </xf>
    <xf numFmtId="0" fontId="42" fillId="0" borderId="0" xfId="1" applyNumberFormat="1" applyFont="1" applyBorder="1" applyAlignment="1">
      <alignment horizontal="center" vertical="center" wrapText="1"/>
    </xf>
    <xf numFmtId="0" fontId="42" fillId="0" borderId="0" xfId="0" applyFont="1" applyAlignment="1">
      <alignment vertical="center"/>
    </xf>
    <xf numFmtId="0" fontId="42" fillId="4" borderId="0" xfId="1" applyNumberFormat="1" applyFont="1" applyFill="1" applyBorder="1" applyAlignment="1">
      <alignment horizontal="center" vertical="center" wrapText="1"/>
    </xf>
    <xf numFmtId="0" fontId="42" fillId="0" borderId="1" xfId="1" applyNumberFormat="1" applyFont="1" applyBorder="1" applyAlignment="1">
      <alignment horizontal="center" vertical="center" wrapText="1"/>
    </xf>
    <xf numFmtId="0" fontId="62" fillId="0" borderId="1" xfId="1" applyNumberFormat="1" applyFont="1" applyFill="1" applyBorder="1" applyAlignment="1">
      <alignment horizontal="center" vertical="center" wrapText="1" shrinkToFit="1"/>
    </xf>
    <xf numFmtId="0" fontId="42" fillId="0" borderId="0" xfId="1" applyNumberFormat="1" applyFont="1" applyFill="1" applyBorder="1" applyAlignment="1">
      <alignment horizontal="center" vertical="center" wrapText="1" shrinkToFit="1"/>
    </xf>
    <xf numFmtId="0" fontId="42" fillId="0" borderId="1" xfId="1" applyNumberFormat="1" applyFont="1" applyFill="1" applyBorder="1" applyAlignment="1">
      <alignment horizontal="center" vertical="center" wrapText="1" shrinkToFit="1"/>
    </xf>
    <xf numFmtId="0" fontId="42" fillId="0" borderId="1" xfId="0" applyFont="1" applyBorder="1" applyAlignment="1">
      <alignment horizontal="center" vertical="center" wrapText="1" shrinkToFit="1"/>
    </xf>
    <xf numFmtId="14" fontId="63" fillId="0" borderId="1" xfId="1" applyNumberFormat="1" applyFont="1" applyFill="1" applyBorder="1" applyAlignment="1">
      <alignment horizontal="center" vertical="center" wrapText="1" shrinkToFit="1"/>
    </xf>
    <xf numFmtId="0" fontId="62" fillId="0" borderId="0" xfId="1" applyNumberFormat="1" applyFont="1" applyFill="1" applyBorder="1" applyAlignment="1">
      <alignment horizontal="center" vertical="center" wrapText="1" shrinkToFit="1"/>
    </xf>
    <xf numFmtId="0" fontId="61" fillId="0" borderId="1" xfId="1" applyNumberFormat="1" applyFont="1" applyFill="1" applyBorder="1" applyAlignment="1">
      <alignment horizontal="center" vertical="center" wrapText="1" shrinkToFit="1"/>
    </xf>
    <xf numFmtId="0" fontId="61" fillId="0" borderId="1" xfId="0" applyFont="1" applyBorder="1" applyAlignment="1">
      <alignment horizontal="center" vertical="center" wrapText="1" shrinkToFit="1"/>
    </xf>
    <xf numFmtId="0" fontId="42" fillId="0" borderId="1" xfId="1" applyNumberFormat="1" applyFont="1" applyBorder="1" applyAlignment="1">
      <alignment horizontal="center" vertical="center" wrapText="1" shrinkToFit="1"/>
    </xf>
    <xf numFmtId="0" fontId="42" fillId="0" borderId="0" xfId="1" applyNumberFormat="1" applyFont="1" applyBorder="1" applyAlignment="1">
      <alignment horizontal="center" vertical="center" wrapText="1" shrinkToFit="1"/>
    </xf>
    <xf numFmtId="0" fontId="42" fillId="0" borderId="13" xfId="1" applyNumberFormat="1" applyFont="1" applyBorder="1" applyAlignment="1">
      <alignment horizontal="center" vertical="center" wrapText="1"/>
    </xf>
    <xf numFmtId="0" fontId="41" fillId="0" borderId="1" xfId="1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58" fillId="0" borderId="9" xfId="0" applyFont="1" applyBorder="1" applyAlignment="1">
      <alignment horizontal="center"/>
    </xf>
    <xf numFmtId="0" fontId="58" fillId="0" borderId="0" xfId="0" applyFont="1"/>
    <xf numFmtId="0" fontId="64" fillId="0" borderId="0" xfId="0" applyFont="1" applyAlignment="1">
      <alignment vertical="center" wrapText="1"/>
    </xf>
    <xf numFmtId="0" fontId="58" fillId="0" borderId="0" xfId="0" applyFont="1" applyAlignment="1">
      <alignment vertical="center"/>
    </xf>
    <xf numFmtId="0" fontId="58" fillId="0" borderId="0" xfId="0" applyFont="1" applyAlignment="1">
      <alignment horizontal="left" vertical="center"/>
    </xf>
    <xf numFmtId="0" fontId="58" fillId="0" borderId="0" xfId="0" applyFont="1" applyAlignment="1">
      <alignment horizontal="center" vertical="center"/>
    </xf>
    <xf numFmtId="2" fontId="58" fillId="0" borderId="0" xfId="0" applyNumberFormat="1" applyFont="1" applyAlignment="1" applyProtection="1">
      <alignment horizontal="center" vertical="center"/>
      <protection locked="0"/>
    </xf>
    <xf numFmtId="164" fontId="66" fillId="0" borderId="0" xfId="0" applyNumberFormat="1" applyFont="1" applyAlignment="1">
      <alignment horizontal="center" vertical="center"/>
    </xf>
    <xf numFmtId="164" fontId="58" fillId="0" borderId="0" xfId="0" applyNumberFormat="1" applyFont="1" applyAlignment="1">
      <alignment horizontal="center" vertical="center"/>
    </xf>
    <xf numFmtId="2" fontId="58" fillId="0" borderId="0" xfId="0" applyNumberFormat="1" applyFont="1" applyAlignment="1">
      <alignment horizontal="center" vertical="center"/>
    </xf>
    <xf numFmtId="0" fontId="58" fillId="0" borderId="0" xfId="0" applyFont="1" applyAlignment="1">
      <alignment horizontal="left" vertical="center" wrapText="1"/>
    </xf>
    <xf numFmtId="0" fontId="58" fillId="0" borderId="0" xfId="0" applyFont="1" applyAlignment="1">
      <alignment horizontal="center"/>
    </xf>
    <xf numFmtId="0" fontId="66" fillId="0" borderId="0" xfId="0" applyFont="1" applyAlignment="1">
      <alignment horizontal="right" vertical="center"/>
    </xf>
    <xf numFmtId="0" fontId="67" fillId="0" borderId="0" xfId="0" applyFont="1"/>
    <xf numFmtId="0" fontId="68" fillId="0" borderId="0" xfId="0" applyFont="1" applyAlignment="1">
      <alignment horizontal="center" vertical="center"/>
    </xf>
    <xf numFmtId="0" fontId="68" fillId="0" borderId="0" xfId="0" applyFont="1"/>
    <xf numFmtId="0" fontId="68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58" fillId="0" borderId="0" xfId="0" applyFont="1" applyAlignment="1" applyProtection="1">
      <alignment vertical="center" wrapText="1"/>
      <protection locked="0"/>
    </xf>
    <xf numFmtId="0" fontId="58" fillId="0" borderId="0" xfId="0" applyFont="1" applyAlignment="1" applyProtection="1">
      <alignment horizontal="right" vertical="center"/>
      <protection locked="0"/>
    </xf>
    <xf numFmtId="164" fontId="58" fillId="0" borderId="0" xfId="0" applyNumberFormat="1" applyFont="1" applyAlignment="1" applyProtection="1">
      <alignment horizontal="center" vertical="center"/>
      <protection locked="0"/>
    </xf>
    <xf numFmtId="164" fontId="58" fillId="0" borderId="0" xfId="0" applyNumberFormat="1" applyFont="1" applyAlignment="1">
      <alignment horizontal="right" vertical="center"/>
    </xf>
    <xf numFmtId="0" fontId="58" fillId="0" borderId="0" xfId="0" applyFont="1" applyProtection="1">
      <protection locked="0"/>
    </xf>
    <xf numFmtId="0" fontId="33" fillId="0" borderId="0" xfId="0" applyFont="1"/>
    <xf numFmtId="0" fontId="33" fillId="0" borderId="0" xfId="0" applyFont="1" applyProtection="1">
      <protection locked="0"/>
    </xf>
    <xf numFmtId="0" fontId="33" fillId="0" borderId="0" xfId="0" applyFont="1" applyAlignment="1">
      <alignment wrapText="1"/>
    </xf>
    <xf numFmtId="0" fontId="33" fillId="0" borderId="0" xfId="0" applyFont="1" applyAlignment="1">
      <alignment horizontal="center" vertical="center"/>
    </xf>
    <xf numFmtId="0" fontId="33" fillId="0" borderId="0" xfId="0" applyFont="1" applyAlignment="1">
      <alignment horizontal="right"/>
    </xf>
    <xf numFmtId="168" fontId="33" fillId="0" borderId="0" xfId="0" applyNumberFormat="1" applyFont="1" applyAlignment="1" applyProtection="1">
      <alignment horizontal="center" vertical="center"/>
      <protection locked="0"/>
    </xf>
    <xf numFmtId="164" fontId="33" fillId="0" borderId="0" xfId="0" applyNumberFormat="1" applyFont="1" applyAlignment="1">
      <alignment horizontal="right" vertical="center"/>
    </xf>
    <xf numFmtId="164" fontId="58" fillId="0" borderId="7" xfId="0" applyNumberFormat="1" applyFont="1" applyBorder="1" applyAlignment="1">
      <alignment vertical="center"/>
    </xf>
    <xf numFmtId="0" fontId="58" fillId="0" borderId="0" xfId="0" applyFont="1" applyAlignment="1" applyProtection="1">
      <alignment vertical="center"/>
      <protection locked="0"/>
    </xf>
    <xf numFmtId="0" fontId="58" fillId="0" borderId="0" xfId="0" applyFont="1" applyAlignment="1" applyProtection="1">
      <alignment horizontal="center" vertical="center"/>
      <protection locked="0"/>
    </xf>
    <xf numFmtId="0" fontId="58" fillId="0" borderId="0" xfId="0" applyFont="1" applyAlignment="1" applyProtection="1">
      <alignment horizontal="left" vertical="center"/>
      <protection locked="0"/>
    </xf>
    <xf numFmtId="0" fontId="58" fillId="0" borderId="0" xfId="0" applyFont="1" applyAlignment="1">
      <alignment horizontal="left"/>
    </xf>
    <xf numFmtId="9" fontId="58" fillId="0" borderId="0" xfId="0" applyNumberFormat="1" applyFont="1"/>
    <xf numFmtId="0" fontId="58" fillId="0" borderId="0" xfId="0" quotePrefix="1" applyFont="1"/>
    <xf numFmtId="164" fontId="58" fillId="0" borderId="0" xfId="0" applyNumberFormat="1" applyFont="1"/>
    <xf numFmtId="2" fontId="58" fillId="0" borderId="0" xfId="0" applyNumberFormat="1" applyFont="1" applyAlignment="1">
      <alignment horizontal="right"/>
    </xf>
    <xf numFmtId="2" fontId="58" fillId="0" borderId="0" xfId="0" applyNumberFormat="1" applyFont="1" applyAlignment="1">
      <alignment horizontal="left"/>
    </xf>
    <xf numFmtId="2" fontId="58" fillId="0" borderId="0" xfId="0" applyNumberFormat="1" applyFont="1" applyAlignment="1">
      <alignment horizontal="center"/>
    </xf>
    <xf numFmtId="0" fontId="58" fillId="0" borderId="0" xfId="0" applyFont="1" applyAlignment="1">
      <alignment wrapText="1"/>
    </xf>
    <xf numFmtId="1" fontId="58" fillId="0" borderId="0" xfId="0" applyNumberFormat="1" applyFont="1" applyAlignment="1">
      <alignment horizontal="center"/>
    </xf>
    <xf numFmtId="164" fontId="58" fillId="0" borderId="0" xfId="0" applyNumberFormat="1" applyFont="1" applyAlignment="1">
      <alignment horizontal="right"/>
    </xf>
    <xf numFmtId="164" fontId="58" fillId="0" borderId="0" xfId="0" quotePrefix="1" applyNumberFormat="1" applyFont="1"/>
    <xf numFmtId="164" fontId="58" fillId="0" borderId="0" xfId="0" applyNumberFormat="1" applyFont="1" applyAlignment="1">
      <alignment horizontal="center"/>
    </xf>
    <xf numFmtId="0" fontId="58" fillId="0" borderId="0" xfId="0" quotePrefix="1" applyFont="1" applyAlignment="1">
      <alignment horizontal="center"/>
    </xf>
    <xf numFmtId="164" fontId="58" fillId="0" borderId="7" xfId="0" applyNumberFormat="1" applyFont="1" applyBorder="1"/>
    <xf numFmtId="2" fontId="58" fillId="0" borderId="0" xfId="0" applyNumberFormat="1" applyFont="1" applyAlignment="1" applyProtection="1">
      <alignment vertical="center"/>
      <protection locked="0"/>
    </xf>
    <xf numFmtId="2" fontId="33" fillId="0" borderId="0" xfId="0" applyNumberFormat="1" applyFont="1" applyAlignment="1">
      <alignment horizontal="left" indent="4"/>
    </xf>
    <xf numFmtId="2" fontId="33" fillId="0" borderId="0" xfId="0" applyNumberFormat="1" applyFont="1" applyAlignment="1">
      <alignment horizontal="center"/>
    </xf>
    <xf numFmtId="0" fontId="58" fillId="0" borderId="25" xfId="0" applyFont="1" applyBorder="1"/>
    <xf numFmtId="2" fontId="58" fillId="0" borderId="25" xfId="0" applyNumberFormat="1" applyFont="1" applyBorder="1" applyAlignment="1">
      <alignment vertical="top"/>
    </xf>
    <xf numFmtId="2" fontId="33" fillId="0" borderId="0" xfId="2" applyNumberFormat="1" applyFont="1" applyFill="1" applyAlignment="1" applyProtection="1">
      <alignment horizontal="left"/>
      <protection locked="0"/>
    </xf>
    <xf numFmtId="2" fontId="33" fillId="0" borderId="0" xfId="0" applyNumberFormat="1" applyFont="1"/>
    <xf numFmtId="2" fontId="33" fillId="0" borderId="0" xfId="2" applyNumberFormat="1" applyFont="1" applyFill="1" applyProtection="1">
      <protection locked="0"/>
    </xf>
    <xf numFmtId="0" fontId="58" fillId="0" borderId="0" xfId="0" applyFont="1" applyAlignment="1">
      <alignment horizontal="center" wrapText="1"/>
    </xf>
    <xf numFmtId="164" fontId="58" fillId="0" borderId="0" xfId="0" applyNumberFormat="1" applyFont="1" applyAlignment="1">
      <alignment horizontal="left"/>
    </xf>
    <xf numFmtId="0" fontId="58" fillId="0" borderId="0" xfId="0" quotePrefix="1" applyFont="1" applyAlignment="1">
      <alignment horizontal="center" vertical="center"/>
    </xf>
    <xf numFmtId="0" fontId="70" fillId="0" borderId="0" xfId="0" applyFont="1"/>
    <xf numFmtId="2" fontId="70" fillId="0" borderId="0" xfId="0" applyNumberFormat="1" applyFont="1"/>
    <xf numFmtId="164" fontId="58" fillId="0" borderId="9" xfId="0" applyNumberFormat="1" applyFont="1" applyBorder="1" applyAlignment="1">
      <alignment horizontal="center" vertical="center"/>
    </xf>
    <xf numFmtId="0" fontId="58" fillId="0" borderId="9" xfId="0" applyFont="1" applyBorder="1" applyAlignment="1">
      <alignment horizontal="center" vertical="center"/>
    </xf>
    <xf numFmtId="164" fontId="58" fillId="0" borderId="9" xfId="0" applyNumberFormat="1" applyFont="1" applyBorder="1"/>
    <xf numFmtId="0" fontId="71" fillId="0" borderId="9" xfId="0" applyFont="1" applyBorder="1" applyAlignment="1">
      <alignment horizontal="center" vertical="center"/>
    </xf>
    <xf numFmtId="0" fontId="58" fillId="0" borderId="9" xfId="0" applyFont="1" applyBorder="1" applyAlignment="1">
      <alignment horizontal="left"/>
    </xf>
    <xf numFmtId="164" fontId="58" fillId="0" borderId="0" xfId="0" applyNumberFormat="1" applyFont="1" applyAlignment="1">
      <alignment horizontal="left" vertical="center"/>
    </xf>
    <xf numFmtId="2" fontId="58" fillId="0" borderId="0" xfId="0" applyNumberFormat="1" applyFont="1"/>
    <xf numFmtId="2" fontId="64" fillId="0" borderId="0" xfId="0" applyNumberFormat="1" applyFont="1"/>
    <xf numFmtId="0" fontId="66" fillId="0" borderId="0" xfId="0" applyFont="1"/>
    <xf numFmtId="0" fontId="58" fillId="0" borderId="0" xfId="0" applyFont="1" applyAlignment="1">
      <alignment horizontal="right"/>
    </xf>
    <xf numFmtId="2" fontId="66" fillId="0" borderId="0" xfId="0" applyNumberFormat="1" applyFont="1" applyAlignment="1">
      <alignment horizontal="right"/>
    </xf>
    <xf numFmtId="0" fontId="66" fillId="0" borderId="0" xfId="0" applyFont="1" applyAlignment="1">
      <alignment horizontal="right"/>
    </xf>
    <xf numFmtId="164" fontId="66" fillId="0" borderId="0" xfId="0" applyNumberFormat="1" applyFont="1" applyAlignment="1">
      <alignment horizontal="right"/>
    </xf>
    <xf numFmtId="0" fontId="66" fillId="0" borderId="0" xfId="0" applyFont="1" applyAlignment="1">
      <alignment horizontal="left"/>
    </xf>
    <xf numFmtId="168" fontId="58" fillId="0" borderId="0" xfId="0" applyNumberFormat="1" applyFont="1"/>
    <xf numFmtId="164" fontId="66" fillId="0" borderId="0" xfId="0" applyNumberFormat="1" applyFont="1" applyAlignment="1">
      <alignment horizontal="left"/>
    </xf>
    <xf numFmtId="164" fontId="66" fillId="0" borderId="0" xfId="0" applyNumberFormat="1" applyFont="1"/>
    <xf numFmtId="0" fontId="58" fillId="0" borderId="12" xfId="0" applyFont="1" applyBorder="1"/>
    <xf numFmtId="0" fontId="58" fillId="0" borderId="12" xfId="0" applyFont="1" applyBorder="1" applyAlignment="1">
      <alignment horizontal="left"/>
    </xf>
    <xf numFmtId="0" fontId="66" fillId="0" borderId="0" xfId="0" applyFont="1" applyAlignment="1">
      <alignment horizontal="center"/>
    </xf>
    <xf numFmtId="0" fontId="58" fillId="0" borderId="0" xfId="0" applyFont="1" applyAlignment="1">
      <alignment horizontal="right" vertical="center"/>
    </xf>
    <xf numFmtId="2" fontId="58" fillId="0" borderId="0" xfId="0" applyNumberFormat="1" applyFont="1" applyAlignment="1">
      <alignment vertical="center"/>
    </xf>
    <xf numFmtId="2" fontId="58" fillId="0" borderId="0" xfId="0" quotePrefix="1" applyNumberFormat="1" applyFont="1" applyAlignment="1">
      <alignment horizontal="center" vertical="center"/>
    </xf>
    <xf numFmtId="0" fontId="58" fillId="0" borderId="0" xfId="0" quotePrefix="1" applyFont="1" applyAlignment="1">
      <alignment horizontal="left" vertical="center"/>
    </xf>
    <xf numFmtId="1" fontId="58" fillId="0" borderId="0" xfId="0" quotePrefix="1" applyNumberFormat="1" applyFont="1" applyAlignment="1">
      <alignment horizontal="left" vertical="center"/>
    </xf>
    <xf numFmtId="164" fontId="58" fillId="0" borderId="0" xfId="0" applyNumberFormat="1" applyFont="1" applyAlignment="1">
      <alignment vertical="center"/>
    </xf>
    <xf numFmtId="2" fontId="58" fillId="0" borderId="0" xfId="0" quotePrefix="1" applyNumberFormat="1" applyFont="1"/>
    <xf numFmtId="16" fontId="58" fillId="0" borderId="0" xfId="0" applyNumberFormat="1" applyFont="1" applyAlignment="1">
      <alignment horizontal="center"/>
    </xf>
    <xf numFmtId="16" fontId="58" fillId="0" borderId="0" xfId="0" quotePrefix="1" applyNumberFormat="1" applyFont="1" applyAlignment="1">
      <alignment horizontal="center"/>
    </xf>
    <xf numFmtId="168" fontId="58" fillId="0" borderId="0" xfId="0" applyNumberFormat="1" applyFont="1" applyAlignment="1" applyProtection="1">
      <alignment vertical="center"/>
      <protection locked="0"/>
    </xf>
    <xf numFmtId="0" fontId="58" fillId="0" borderId="0" xfId="0" quotePrefix="1" applyFont="1" applyAlignment="1">
      <alignment vertical="center"/>
    </xf>
    <xf numFmtId="16" fontId="58" fillId="0" borderId="0" xfId="0" quotePrefix="1" applyNumberFormat="1" applyFont="1" applyAlignment="1">
      <alignment horizontal="right"/>
    </xf>
    <xf numFmtId="0" fontId="58" fillId="0" borderId="0" xfId="0" applyFont="1" applyAlignment="1" applyProtection="1">
      <alignment horizontal="left"/>
      <protection locked="0"/>
    </xf>
    <xf numFmtId="0" fontId="66" fillId="0" borderId="0" xfId="0" applyFont="1" applyAlignment="1">
      <alignment horizontal="center" vertical="center"/>
    </xf>
    <xf numFmtId="16" fontId="58" fillId="0" borderId="0" xfId="0" quotePrefix="1" applyNumberFormat="1" applyFont="1" applyAlignment="1">
      <alignment vertical="center"/>
    </xf>
    <xf numFmtId="0" fontId="58" fillId="0" borderId="12" xfId="0" applyFont="1" applyBorder="1" applyAlignment="1">
      <alignment horizontal="center" vertical="center"/>
    </xf>
    <xf numFmtId="2" fontId="58" fillId="0" borderId="12" xfId="0" applyNumberFormat="1" applyFont="1" applyBorder="1" applyAlignment="1">
      <alignment horizontal="center" vertical="center"/>
    </xf>
    <xf numFmtId="16" fontId="58" fillId="0" borderId="0" xfId="0" quotePrefix="1" applyNumberFormat="1" applyFont="1" applyAlignment="1">
      <alignment horizontal="center" vertical="center"/>
    </xf>
    <xf numFmtId="16" fontId="58" fillId="0" borderId="0" xfId="0" quotePrefix="1" applyNumberFormat="1" applyFont="1" applyAlignment="1">
      <alignment horizontal="right" vertical="center"/>
    </xf>
    <xf numFmtId="2" fontId="58" fillId="0" borderId="0" xfId="0" applyNumberFormat="1" applyFont="1" applyAlignment="1" applyProtection="1">
      <alignment horizontal="center"/>
      <protection locked="0"/>
    </xf>
    <xf numFmtId="0" fontId="58" fillId="0" borderId="12" xfId="0" applyFont="1" applyBorder="1" applyAlignment="1">
      <alignment horizontal="right"/>
    </xf>
    <xf numFmtId="164" fontId="58" fillId="0" borderId="12" xfId="0" applyNumberFormat="1" applyFont="1" applyBorder="1" applyAlignment="1">
      <alignment horizontal="left"/>
    </xf>
    <xf numFmtId="0" fontId="58" fillId="0" borderId="9" xfId="0" quotePrefix="1" applyFont="1" applyBorder="1" applyAlignment="1">
      <alignment vertical="center"/>
    </xf>
    <xf numFmtId="2" fontId="66" fillId="0" borderId="0" xfId="0" applyNumberFormat="1" applyFont="1" applyAlignment="1">
      <alignment horizontal="center" vertical="center"/>
    </xf>
    <xf numFmtId="2" fontId="66" fillId="0" borderId="0" xfId="0" applyNumberFormat="1" applyFont="1"/>
    <xf numFmtId="2" fontId="58" fillId="0" borderId="12" xfId="0" applyNumberFormat="1" applyFont="1" applyBorder="1"/>
    <xf numFmtId="0" fontId="58" fillId="0" borderId="0" xfId="0" applyFont="1" applyAlignment="1">
      <alignment horizontal="left" vertical="center" indent="5"/>
    </xf>
    <xf numFmtId="0" fontId="71" fillId="0" borderId="0" xfId="0" applyFont="1" applyAlignment="1">
      <alignment horizontal="center" vertical="center"/>
    </xf>
    <xf numFmtId="0" fontId="58" fillId="0" borderId="0" xfId="0" applyFont="1" applyAlignment="1">
      <alignment horizontal="left" vertical="center" indent="3"/>
    </xf>
    <xf numFmtId="0" fontId="64" fillId="0" borderId="0" xfId="0" applyFont="1"/>
    <xf numFmtId="0" fontId="71" fillId="0" borderId="0" xfId="0" quotePrefix="1" applyFont="1" applyAlignment="1">
      <alignment horizontal="center" vertical="center"/>
    </xf>
    <xf numFmtId="16" fontId="58" fillId="0" borderId="0" xfId="0" applyNumberFormat="1" applyFont="1"/>
    <xf numFmtId="0" fontId="60" fillId="0" borderId="0" xfId="0" applyFont="1"/>
    <xf numFmtId="0" fontId="67" fillId="0" borderId="0" xfId="0" applyFont="1" applyAlignment="1">
      <alignment horizontal="center" vertical="center"/>
    </xf>
    <xf numFmtId="168" fontId="67" fillId="0" borderId="0" xfId="0" applyNumberFormat="1" applyFont="1"/>
    <xf numFmtId="0" fontId="67" fillId="0" borderId="0" xfId="0" applyFont="1" applyAlignment="1">
      <alignment horizontal="left" vertical="center"/>
    </xf>
    <xf numFmtId="175" fontId="67" fillId="0" borderId="0" xfId="0" applyNumberFormat="1" applyFont="1" applyAlignment="1">
      <alignment horizontal="center"/>
    </xf>
    <xf numFmtId="172" fontId="67" fillId="0" borderId="0" xfId="0" applyNumberFormat="1" applyFont="1" applyAlignment="1">
      <alignment horizontal="center"/>
    </xf>
    <xf numFmtId="1" fontId="67" fillId="0" borderId="0" xfId="0" applyNumberFormat="1" applyFont="1"/>
    <xf numFmtId="1" fontId="4" fillId="0" borderId="2" xfId="1" applyNumberFormat="1" applyFont="1" applyBorder="1" applyAlignment="1">
      <alignment horizontal="center" vertical="center"/>
    </xf>
    <xf numFmtId="1" fontId="4" fillId="0" borderId="3" xfId="1" applyNumberFormat="1" applyFont="1" applyBorder="1" applyAlignment="1">
      <alignment horizontal="center" vertical="center"/>
    </xf>
    <xf numFmtId="0" fontId="42" fillId="0" borderId="1" xfId="1" applyNumberFormat="1" applyFont="1" applyBorder="1" applyAlignment="1">
      <alignment horizontal="center" vertical="center" wrapText="1"/>
    </xf>
    <xf numFmtId="0" fontId="55" fillId="0" borderId="0" xfId="1" applyNumberFormat="1" applyFont="1" applyAlignment="1">
      <alignment horizontal="center" vertical="center"/>
    </xf>
    <xf numFmtId="0" fontId="4" fillId="0" borderId="0" xfId="1" applyNumberFormat="1" applyFont="1" applyAlignment="1">
      <alignment horizontal="center" vertical="center" wrapText="1"/>
    </xf>
    <xf numFmtId="9" fontId="4" fillId="0" borderId="0" xfId="1" applyFont="1" applyAlignment="1">
      <alignment horizontal="left" vertical="center"/>
    </xf>
    <xf numFmtId="0" fontId="4" fillId="0" borderId="1" xfId="1" applyNumberFormat="1" applyFont="1" applyFill="1" applyBorder="1" applyAlignment="1">
      <alignment horizontal="center" vertical="center"/>
    </xf>
    <xf numFmtId="0" fontId="4" fillId="0" borderId="1" xfId="1" applyNumberFormat="1" applyFont="1" applyBorder="1" applyAlignment="1">
      <alignment horizontal="center" vertical="center"/>
    </xf>
    <xf numFmtId="0" fontId="4" fillId="0" borderId="1" xfId="1" applyNumberFormat="1" applyFont="1" applyBorder="1" applyAlignment="1">
      <alignment horizontal="center" vertical="center" wrapText="1"/>
    </xf>
    <xf numFmtId="0" fontId="2" fillId="0" borderId="1" xfId="1" applyNumberFormat="1" applyFont="1" applyBorder="1" applyAlignment="1">
      <alignment horizontal="center" vertical="center"/>
    </xf>
    <xf numFmtId="169" fontId="4" fillId="0" borderId="1" xfId="1" applyNumberFormat="1" applyFont="1" applyFill="1" applyBorder="1" applyAlignment="1">
      <alignment horizontal="center" vertical="center" wrapText="1"/>
    </xf>
    <xf numFmtId="181" fontId="4" fillId="0" borderId="1" xfId="1" applyNumberFormat="1" applyFont="1" applyFill="1" applyBorder="1" applyAlignment="1">
      <alignment horizontal="center" vertical="center" wrapText="1"/>
    </xf>
    <xf numFmtId="180" fontId="4" fillId="0" borderId="1" xfId="1" applyNumberFormat="1" applyFont="1" applyBorder="1" applyAlignment="1">
      <alignment horizontal="center" vertical="center" wrapText="1"/>
    </xf>
    <xf numFmtId="0" fontId="2" fillId="0" borderId="1" xfId="1" applyNumberFormat="1" applyFont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164" fontId="4" fillId="0" borderId="1" xfId="1" applyNumberFormat="1" applyFont="1" applyFill="1" applyBorder="1" applyAlignment="1">
      <alignment horizontal="center" vertical="center" wrapText="1"/>
    </xf>
    <xf numFmtId="164" fontId="4" fillId="0" borderId="1" xfId="1" applyNumberFormat="1" applyFont="1" applyFill="1" applyBorder="1" applyAlignment="1">
      <alignment horizontal="center" vertical="center"/>
    </xf>
    <xf numFmtId="0" fontId="42" fillId="0" borderId="1" xfId="1" applyNumberFormat="1" applyFont="1" applyBorder="1" applyAlignment="1">
      <alignment horizontal="center" vertical="center"/>
    </xf>
    <xf numFmtId="0" fontId="42" fillId="0" borderId="1" xfId="1" applyNumberFormat="1" applyFont="1" applyFill="1" applyBorder="1" applyAlignment="1">
      <alignment horizontal="center" vertical="center" wrapText="1" shrinkToFit="1"/>
    </xf>
    <xf numFmtId="169" fontId="42" fillId="0" borderId="1" xfId="1" applyNumberFormat="1" applyFont="1" applyFill="1" applyBorder="1" applyAlignment="1">
      <alignment horizontal="center" vertical="center"/>
    </xf>
    <xf numFmtId="183" fontId="42" fillId="0" borderId="1" xfId="1" applyNumberFormat="1" applyFont="1" applyFill="1" applyBorder="1" applyAlignment="1">
      <alignment horizontal="center" vertical="center"/>
    </xf>
    <xf numFmtId="0" fontId="61" fillId="0" borderId="1" xfId="1" applyNumberFormat="1" applyFont="1" applyFill="1" applyBorder="1" applyAlignment="1">
      <alignment horizontal="left" vertical="center" wrapText="1"/>
    </xf>
    <xf numFmtId="9" fontId="57" fillId="0" borderId="0" xfId="1" applyFont="1" applyAlignment="1">
      <alignment horizontal="center" vertical="center" wrapText="1"/>
    </xf>
    <xf numFmtId="0" fontId="41" fillId="0" borderId="1" xfId="1" applyNumberFormat="1" applyFont="1" applyBorder="1" applyAlignment="1">
      <alignment horizontal="center" vertical="center" wrapText="1"/>
    </xf>
    <xf numFmtId="1" fontId="4" fillId="0" borderId="1" xfId="1" applyNumberFormat="1" applyFont="1" applyBorder="1" applyAlignment="1">
      <alignment horizontal="center" vertical="center"/>
    </xf>
    <xf numFmtId="0" fontId="4" fillId="0" borderId="1" xfId="1" applyNumberFormat="1" applyFont="1" applyBorder="1" applyAlignment="1">
      <alignment horizontal="left" vertical="center" wrapText="1"/>
    </xf>
    <xf numFmtId="171" fontId="4" fillId="4" borderId="1" xfId="1" applyNumberFormat="1" applyFont="1" applyFill="1" applyBorder="1" applyAlignment="1">
      <alignment horizontal="center" vertical="center" wrapText="1"/>
    </xf>
    <xf numFmtId="0" fontId="41" fillId="0" borderId="1" xfId="1" applyNumberFormat="1" applyFont="1" applyBorder="1" applyAlignment="1">
      <alignment horizontal="center" vertical="center"/>
    </xf>
    <xf numFmtId="0" fontId="42" fillId="0" borderId="5" xfId="1" applyNumberFormat="1" applyFont="1" applyBorder="1" applyAlignment="1">
      <alignment horizontal="center" vertical="center" wrapText="1"/>
    </xf>
    <xf numFmtId="0" fontId="42" fillId="0" borderId="7" xfId="1" applyNumberFormat="1" applyFont="1" applyBorder="1" applyAlignment="1">
      <alignment horizontal="center" vertical="center" wrapText="1"/>
    </xf>
    <xf numFmtId="0" fontId="42" fillId="0" borderId="6" xfId="1" applyNumberFormat="1" applyFont="1" applyBorder="1" applyAlignment="1">
      <alignment horizontal="center" vertical="center" wrapText="1"/>
    </xf>
    <xf numFmtId="0" fontId="41" fillId="0" borderId="1" xfId="1" applyNumberFormat="1" applyFont="1" applyBorder="1" applyAlignment="1">
      <alignment horizontal="left" vertical="center" wrapText="1"/>
    </xf>
    <xf numFmtId="0" fontId="42" fillId="4" borderId="1" xfId="1" applyNumberFormat="1" applyFont="1" applyFill="1" applyBorder="1" applyAlignment="1">
      <alignment horizontal="center" vertical="center" wrapText="1"/>
    </xf>
    <xf numFmtId="14" fontId="42" fillId="4" borderId="1" xfId="1" applyNumberFormat="1" applyFont="1" applyFill="1" applyBorder="1" applyAlignment="1">
      <alignment horizontal="center" vertical="center" wrapText="1"/>
    </xf>
    <xf numFmtId="0" fontId="57" fillId="0" borderId="0" xfId="1" applyNumberFormat="1" applyFont="1" applyAlignment="1">
      <alignment horizontal="center" vertical="center" wrapText="1"/>
    </xf>
    <xf numFmtId="0" fontId="2" fillId="0" borderId="1" xfId="1" applyNumberFormat="1" applyFont="1" applyBorder="1" applyAlignment="1">
      <alignment horizontal="left" vertical="center" wrapText="1"/>
    </xf>
    <xf numFmtId="0" fontId="4" fillId="0" borderId="1" xfId="1" applyNumberFormat="1" applyFont="1" applyBorder="1" applyAlignment="1">
      <alignment horizontal="center" vertical="center" wrapText="1" shrinkToFit="1"/>
    </xf>
    <xf numFmtId="169" fontId="4" fillId="0" borderId="1" xfId="1" applyNumberFormat="1" applyFont="1" applyBorder="1" applyAlignment="1">
      <alignment horizontal="center" vertical="center" wrapText="1"/>
    </xf>
    <xf numFmtId="166" fontId="4" fillId="4" borderId="1" xfId="1" applyNumberFormat="1" applyFont="1" applyFill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 wrapText="1" shrinkToFit="1"/>
    </xf>
    <xf numFmtId="172" fontId="4" fillId="0" borderId="1" xfId="1" applyNumberFormat="1" applyFont="1" applyFill="1" applyBorder="1" applyAlignment="1">
      <alignment horizontal="center" vertical="center" wrapText="1"/>
    </xf>
    <xf numFmtId="0" fontId="4" fillId="0" borderId="5" xfId="1" applyNumberFormat="1" applyFont="1" applyFill="1" applyBorder="1" applyAlignment="1">
      <alignment horizontal="center" vertical="center" wrapText="1"/>
    </xf>
    <xf numFmtId="0" fontId="4" fillId="0" borderId="6" xfId="1" applyNumberFormat="1" applyFont="1" applyFill="1" applyBorder="1" applyAlignment="1">
      <alignment horizontal="center" vertical="center" wrapText="1"/>
    </xf>
    <xf numFmtId="0" fontId="4" fillId="0" borderId="7" xfId="1" applyNumberFormat="1" applyFont="1" applyFill="1" applyBorder="1" applyAlignment="1">
      <alignment horizontal="center" vertical="center" wrapText="1"/>
    </xf>
    <xf numFmtId="0" fontId="4" fillId="4" borderId="3" xfId="1" applyNumberFormat="1" applyFont="1" applyFill="1" applyBorder="1" applyAlignment="1">
      <alignment horizontal="center" vertical="center"/>
    </xf>
    <xf numFmtId="172" fontId="4" fillId="4" borderId="1" xfId="1" applyNumberFormat="1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>
      <alignment horizontal="center" vertical="center"/>
    </xf>
    <xf numFmtId="165" fontId="4" fillId="4" borderId="1" xfId="1" applyNumberFormat="1" applyFont="1" applyFill="1" applyBorder="1" applyAlignment="1">
      <alignment horizontal="center" vertical="center"/>
    </xf>
    <xf numFmtId="176" fontId="4" fillId="4" borderId="11" xfId="1" applyNumberFormat="1" applyFont="1" applyFill="1" applyBorder="1" applyAlignment="1">
      <alignment horizontal="center" vertical="center" wrapText="1" shrinkToFit="1"/>
    </xf>
    <xf numFmtId="176" fontId="4" fillId="4" borderId="12" xfId="1" applyNumberFormat="1" applyFont="1" applyFill="1" applyBorder="1" applyAlignment="1">
      <alignment horizontal="center" vertical="center" wrapText="1" shrinkToFit="1"/>
    </xf>
    <xf numFmtId="176" fontId="4" fillId="4" borderId="13" xfId="1" applyNumberFormat="1" applyFont="1" applyFill="1" applyBorder="1" applyAlignment="1">
      <alignment horizontal="center" vertical="center" wrapText="1" shrinkToFit="1"/>
    </xf>
    <xf numFmtId="0" fontId="4" fillId="0" borderId="2" xfId="1" applyNumberFormat="1" applyFont="1" applyFill="1" applyBorder="1" applyAlignment="1">
      <alignment horizontal="center" vertical="center"/>
    </xf>
    <xf numFmtId="49" fontId="4" fillId="0" borderId="8" xfId="1" applyNumberFormat="1" applyFont="1" applyFill="1" applyBorder="1" applyAlignment="1">
      <alignment horizontal="center" vertical="center" wrapText="1" shrinkToFit="1"/>
    </xf>
    <xf numFmtId="49" fontId="4" fillId="0" borderId="9" xfId="1" applyNumberFormat="1" applyFont="1" applyFill="1" applyBorder="1" applyAlignment="1">
      <alignment horizontal="center" vertical="center" wrapText="1" shrinkToFit="1"/>
    </xf>
    <xf numFmtId="49" fontId="4" fillId="0" borderId="10" xfId="1" applyNumberFormat="1" applyFont="1" applyFill="1" applyBorder="1" applyAlignment="1">
      <alignment horizontal="center" vertical="center" wrapText="1" shrinkToFit="1"/>
    </xf>
    <xf numFmtId="0" fontId="2" fillId="0" borderId="0" xfId="1" applyNumberFormat="1" applyFont="1" applyBorder="1" applyAlignment="1">
      <alignment horizontal="center" vertical="center"/>
    </xf>
    <xf numFmtId="0" fontId="4" fillId="0" borderId="0" xfId="1" applyNumberFormat="1" applyFont="1" applyBorder="1" applyAlignment="1">
      <alignment horizontal="center" vertical="center" wrapText="1"/>
    </xf>
    <xf numFmtId="0" fontId="4" fillId="0" borderId="0" xfId="1" applyNumberFormat="1" applyFont="1" applyBorder="1" applyAlignment="1">
      <alignment horizontal="left" vertical="center" wrapText="1"/>
    </xf>
    <xf numFmtId="165" fontId="4" fillId="4" borderId="1" xfId="1" applyNumberFormat="1" applyFont="1" applyFill="1" applyBorder="1" applyAlignment="1">
      <alignment horizontal="center" vertical="center" wrapText="1"/>
    </xf>
    <xf numFmtId="0" fontId="4" fillId="0" borderId="5" xfId="1" applyNumberFormat="1" applyFont="1" applyBorder="1" applyAlignment="1">
      <alignment horizontal="left" vertical="center" wrapText="1"/>
    </xf>
    <xf numFmtId="14" fontId="4" fillId="4" borderId="1" xfId="1" applyNumberFormat="1" applyFont="1" applyFill="1" applyBorder="1" applyAlignment="1">
      <alignment horizontal="center" vertical="center" wrapText="1"/>
    </xf>
    <xf numFmtId="166" fontId="4" fillId="4" borderId="1" xfId="1" applyNumberFormat="1" applyFont="1" applyFill="1" applyBorder="1" applyAlignment="1">
      <alignment horizontal="center" vertical="center" wrapText="1"/>
    </xf>
    <xf numFmtId="166" fontId="4" fillId="4" borderId="4" xfId="1" applyNumberFormat="1" applyFont="1" applyFill="1" applyBorder="1" applyAlignment="1">
      <alignment horizontal="center" vertical="center" wrapText="1"/>
    </xf>
    <xf numFmtId="166" fontId="4" fillId="4" borderId="2" xfId="1" applyNumberFormat="1" applyFont="1" applyFill="1" applyBorder="1" applyAlignment="1">
      <alignment horizontal="center" vertical="center" wrapText="1"/>
    </xf>
    <xf numFmtId="166" fontId="4" fillId="4" borderId="11" xfId="1" applyNumberFormat="1" applyFont="1" applyFill="1" applyBorder="1" applyAlignment="1">
      <alignment horizontal="center" vertical="center" wrapText="1"/>
    </xf>
    <xf numFmtId="166" fontId="4" fillId="4" borderId="12" xfId="1" applyNumberFormat="1" applyFont="1" applyFill="1" applyBorder="1" applyAlignment="1">
      <alignment horizontal="center" vertical="center" wrapText="1"/>
    </xf>
    <xf numFmtId="166" fontId="4" fillId="4" borderId="13" xfId="1" applyNumberFormat="1" applyFont="1" applyFill="1" applyBorder="1" applyAlignment="1">
      <alignment horizontal="center" vertical="center" wrapText="1"/>
    </xf>
    <xf numFmtId="166" fontId="4" fillId="4" borderId="3" xfId="1" applyNumberFormat="1" applyFont="1" applyFill="1" applyBorder="1" applyAlignment="1">
      <alignment horizontal="center" vertical="center" wrapText="1"/>
    </xf>
    <xf numFmtId="164" fontId="4" fillId="4" borderId="5" xfId="1" applyNumberFormat="1" applyFont="1" applyFill="1" applyBorder="1" applyAlignment="1">
      <alignment horizontal="center" vertical="center" wrapText="1"/>
    </xf>
    <xf numFmtId="164" fontId="4" fillId="4" borderId="7" xfId="1" applyNumberFormat="1" applyFont="1" applyFill="1" applyBorder="1" applyAlignment="1">
      <alignment horizontal="center" vertical="center" wrapText="1"/>
    </xf>
    <xf numFmtId="164" fontId="4" fillId="4" borderId="6" xfId="1" applyNumberFormat="1" applyFont="1" applyFill="1" applyBorder="1" applyAlignment="1">
      <alignment horizontal="center" vertical="center" wrapText="1"/>
    </xf>
    <xf numFmtId="166" fontId="4" fillId="4" borderId="8" xfId="1" applyNumberFormat="1" applyFont="1" applyFill="1" applyBorder="1" applyAlignment="1">
      <alignment horizontal="center" vertical="center" wrapText="1"/>
    </xf>
    <xf numFmtId="166" fontId="4" fillId="4" borderId="9" xfId="1" applyNumberFormat="1" applyFont="1" applyFill="1" applyBorder="1" applyAlignment="1">
      <alignment horizontal="center" vertical="center" wrapText="1"/>
    </xf>
    <xf numFmtId="166" fontId="4" fillId="4" borderId="10" xfId="1" applyNumberFormat="1" applyFont="1" applyFill="1" applyBorder="1" applyAlignment="1">
      <alignment horizontal="center" vertical="center" wrapText="1"/>
    </xf>
    <xf numFmtId="0" fontId="4" fillId="0" borderId="11" xfId="1" applyNumberFormat="1" applyFont="1" applyBorder="1" applyAlignment="1">
      <alignment horizontal="left" vertical="center" wrapText="1"/>
    </xf>
    <xf numFmtId="0" fontId="4" fillId="0" borderId="8" xfId="1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top" wrapText="1" shrinkToFit="1"/>
    </xf>
    <xf numFmtId="0" fontId="6" fillId="0" borderId="16" xfId="0" applyFont="1" applyBorder="1" applyAlignment="1">
      <alignment horizontal="center" vertical="center" wrapText="1" shrinkToFit="1"/>
    </xf>
    <xf numFmtId="0" fontId="6" fillId="0" borderId="17" xfId="0" applyFont="1" applyBorder="1" applyAlignment="1">
      <alignment horizontal="center" vertical="center" wrapText="1" shrinkToFit="1"/>
    </xf>
    <xf numFmtId="0" fontId="6" fillId="0" borderId="18" xfId="0" applyFont="1" applyBorder="1" applyAlignment="1">
      <alignment horizontal="center" vertical="center" wrapText="1" shrinkToFit="1"/>
    </xf>
    <xf numFmtId="0" fontId="10" fillId="0" borderId="0" xfId="0" applyFont="1" applyAlignment="1">
      <alignment horizontal="center" wrapText="1" shrinkToFit="1"/>
    </xf>
    <xf numFmtId="0" fontId="12" fillId="0" borderId="0" xfId="1" applyNumberFormat="1" applyFont="1" applyBorder="1" applyAlignment="1">
      <alignment horizontal="right" vertical="top" wrapText="1"/>
    </xf>
    <xf numFmtId="0" fontId="12" fillId="0" borderId="0" xfId="1" applyNumberFormat="1" applyFont="1" applyBorder="1" applyAlignment="1">
      <alignment horizontal="left" vertical="top" wrapText="1"/>
    </xf>
    <xf numFmtId="0" fontId="11" fillId="0" borderId="0" xfId="0" applyFont="1" applyAlignment="1">
      <alignment horizontal="right" wrapText="1" shrinkToFit="1"/>
    </xf>
    <xf numFmtId="173" fontId="12" fillId="0" borderId="0" xfId="1" applyNumberFormat="1" applyFont="1" applyBorder="1" applyAlignment="1">
      <alignment horizontal="left" vertical="top" wrapText="1"/>
    </xf>
    <xf numFmtId="0" fontId="3" fillId="0" borderId="0" xfId="0" applyFont="1" applyAlignment="1">
      <alignment horizontal="center" wrapText="1" shrinkToFit="1"/>
    </xf>
    <xf numFmtId="0" fontId="8" fillId="0" borderId="0" xfId="0" applyFont="1" applyAlignment="1">
      <alignment horizontal="center" wrapText="1" shrinkToFit="1"/>
    </xf>
    <xf numFmtId="0" fontId="6" fillId="0" borderId="0" xfId="0" applyFont="1" applyAlignment="1">
      <alignment horizontal="left" vertical="center" wrapText="1" shrinkToFit="1"/>
    </xf>
    <xf numFmtId="0" fontId="6" fillId="0" borderId="29" xfId="0" applyFont="1" applyBorder="1" applyAlignment="1">
      <alignment horizontal="center" vertical="center" wrapText="1" shrinkToFit="1"/>
    </xf>
    <xf numFmtId="0" fontId="6" fillId="0" borderId="30" xfId="0" applyFont="1" applyBorder="1" applyAlignment="1">
      <alignment horizontal="center" vertical="center" wrapText="1" shrinkToFit="1"/>
    </xf>
    <xf numFmtId="0" fontId="6" fillId="0" borderId="31" xfId="0" applyFont="1" applyBorder="1" applyAlignment="1">
      <alignment horizontal="center" vertical="center" wrapText="1" shrinkToFit="1"/>
    </xf>
    <xf numFmtId="0" fontId="6" fillId="2" borderId="32" xfId="0" applyFont="1" applyFill="1" applyBorder="1" applyAlignment="1">
      <alignment horizontal="center" vertical="center" wrapText="1" shrinkToFit="1"/>
    </xf>
    <xf numFmtId="0" fontId="6" fillId="2" borderId="12" xfId="0" applyFont="1" applyFill="1" applyBorder="1" applyAlignment="1">
      <alignment horizontal="center" vertical="center" wrapText="1" shrinkToFit="1"/>
    </xf>
    <xf numFmtId="0" fontId="6" fillId="2" borderId="33" xfId="0" applyFont="1" applyFill="1" applyBorder="1" applyAlignment="1">
      <alignment horizontal="center" vertical="center" wrapText="1" shrinkToFit="1"/>
    </xf>
    <xf numFmtId="0" fontId="6" fillId="2" borderId="15" xfId="0" applyFont="1" applyFill="1" applyBorder="1" applyAlignment="1">
      <alignment horizontal="center" vertical="center" wrapText="1" shrinkToFit="1"/>
    </xf>
    <xf numFmtId="0" fontId="6" fillId="2" borderId="0" xfId="0" applyFont="1" applyFill="1" applyAlignment="1">
      <alignment horizontal="center" vertical="center" wrapText="1" shrinkToFit="1"/>
    </xf>
    <xf numFmtId="0" fontId="6" fillId="2" borderId="14" xfId="0" applyFont="1" applyFill="1" applyBorder="1" applyAlignment="1">
      <alignment horizontal="center" vertical="center" wrapText="1" shrinkToFit="1"/>
    </xf>
    <xf numFmtId="0" fontId="6" fillId="2" borderId="34" xfId="0" applyFont="1" applyFill="1" applyBorder="1" applyAlignment="1">
      <alignment horizontal="center" vertical="center" wrapText="1" shrinkToFit="1"/>
    </xf>
    <xf numFmtId="0" fontId="6" fillId="2" borderId="9" xfId="0" applyFont="1" applyFill="1" applyBorder="1" applyAlignment="1">
      <alignment horizontal="center" vertical="center" wrapText="1" shrinkToFit="1"/>
    </xf>
    <xf numFmtId="0" fontId="6" fillId="2" borderId="35" xfId="0" applyFont="1" applyFill="1" applyBorder="1" applyAlignment="1">
      <alignment horizontal="center" vertical="center" wrapText="1" shrinkToFit="1"/>
    </xf>
    <xf numFmtId="165" fontId="7" fillId="0" borderId="0" xfId="0" applyNumberFormat="1" applyFont="1" applyAlignment="1">
      <alignment horizontal="center" wrapText="1" shrinkToFit="1"/>
    </xf>
    <xf numFmtId="0" fontId="22" fillId="0" borderId="0" xfId="0" applyFont="1" applyAlignment="1">
      <alignment horizontal="center" wrapText="1" shrinkToFit="1"/>
    </xf>
    <xf numFmtId="0" fontId="41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7" fillId="0" borderId="0" xfId="0" applyFont="1" applyAlignment="1">
      <alignment horizontal="left" vertical="center"/>
    </xf>
    <xf numFmtId="2" fontId="58" fillId="0" borderId="9" xfId="0" applyNumberFormat="1" applyFont="1" applyBorder="1" applyAlignment="1">
      <alignment horizontal="center"/>
    </xf>
    <xf numFmtId="2" fontId="58" fillId="0" borderId="0" xfId="0" applyNumberFormat="1" applyFont="1" applyAlignment="1">
      <alignment horizontal="center" vertical="center"/>
    </xf>
    <xf numFmtId="0" fontId="58" fillId="0" borderId="0" xfId="0" quotePrefix="1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71" fillId="0" borderId="0" xfId="0" applyFont="1" applyAlignment="1">
      <alignment horizontal="center" vertical="center"/>
    </xf>
    <xf numFmtId="175" fontId="67" fillId="0" borderId="0" xfId="0" applyNumberFormat="1" applyFont="1" applyAlignment="1">
      <alignment horizontal="center"/>
    </xf>
    <xf numFmtId="168" fontId="58" fillId="0" borderId="12" xfId="0" applyNumberFormat="1" applyFont="1" applyBorder="1" applyAlignment="1">
      <alignment horizontal="center"/>
    </xf>
    <xf numFmtId="0" fontId="58" fillId="0" borderId="12" xfId="0" applyFont="1" applyBorder="1" applyAlignment="1">
      <alignment horizontal="center"/>
    </xf>
    <xf numFmtId="0" fontId="41" fillId="0" borderId="0" xfId="0" applyFont="1" applyAlignment="1">
      <alignment horizontal="center" vertical="center"/>
    </xf>
    <xf numFmtId="172" fontId="67" fillId="0" borderId="0" xfId="0" applyNumberFormat="1" applyFont="1" applyAlignment="1">
      <alignment horizontal="center"/>
    </xf>
    <xf numFmtId="2" fontId="58" fillId="0" borderId="0" xfId="0" applyNumberFormat="1" applyFont="1" applyAlignment="1">
      <alignment horizontal="center"/>
    </xf>
    <xf numFmtId="167" fontId="58" fillId="0" borderId="0" xfId="0" applyNumberFormat="1" applyFont="1" applyAlignment="1">
      <alignment horizontal="left" vertical="center" wrapText="1"/>
    </xf>
    <xf numFmtId="0" fontId="58" fillId="0" borderId="0" xfId="0" applyFont="1" applyAlignment="1">
      <alignment horizontal="left" wrapText="1"/>
    </xf>
    <xf numFmtId="0" fontId="68" fillId="0" borderId="0" xfId="0" applyFont="1" applyAlignment="1">
      <alignment horizontal="center" vertical="center"/>
    </xf>
    <xf numFmtId="0" fontId="58" fillId="0" borderId="0" xfId="0" applyFont="1" applyAlignment="1">
      <alignment horizontal="left" vertical="center"/>
    </xf>
    <xf numFmtId="0" fontId="58" fillId="0" borderId="0" xfId="0" applyFont="1" applyAlignment="1">
      <alignment horizontal="center"/>
    </xf>
    <xf numFmtId="164" fontId="58" fillId="0" borderId="0" xfId="0" applyNumberFormat="1" applyFont="1" applyAlignment="1">
      <alignment horizontal="center" vertical="center"/>
    </xf>
    <xf numFmtId="2" fontId="58" fillId="0" borderId="0" xfId="0" quotePrefix="1" applyNumberFormat="1" applyFont="1" applyAlignment="1">
      <alignment horizontal="center" vertical="center"/>
    </xf>
    <xf numFmtId="168" fontId="58" fillId="0" borderId="0" xfId="0" applyNumberFormat="1" applyFont="1" applyAlignment="1">
      <alignment horizontal="center" vertical="center"/>
    </xf>
    <xf numFmtId="168" fontId="58" fillId="0" borderId="25" xfId="0" applyNumberFormat="1" applyFont="1" applyBorder="1" applyAlignment="1">
      <alignment horizontal="center" vertical="center"/>
    </xf>
    <xf numFmtId="0" fontId="58" fillId="0" borderId="9" xfId="0" applyFont="1" applyBorder="1" applyAlignment="1">
      <alignment horizontal="center"/>
    </xf>
    <xf numFmtId="0" fontId="60" fillId="0" borderId="12" xfId="0" applyFont="1" applyBorder="1" applyAlignment="1">
      <alignment horizontal="center"/>
    </xf>
    <xf numFmtId="2" fontId="40" fillId="0" borderId="5" xfId="0" applyNumberFormat="1" applyFont="1" applyBorder="1" applyAlignment="1" applyProtection="1">
      <alignment horizontal="center" vertical="center"/>
      <protection locked="0"/>
    </xf>
    <xf numFmtId="2" fontId="40" fillId="0" borderId="6" xfId="0" applyNumberFormat="1" applyFont="1" applyBorder="1" applyAlignment="1" applyProtection="1">
      <alignment horizontal="center" vertical="center"/>
      <protection locked="0"/>
    </xf>
    <xf numFmtId="0" fontId="58" fillId="0" borderId="0" xfId="0" applyFont="1" applyAlignment="1" applyProtection="1">
      <alignment horizontal="left" vertical="center" wrapText="1"/>
      <protection locked="0"/>
    </xf>
    <xf numFmtId="2" fontId="58" fillId="0" borderId="0" xfId="0" applyNumberFormat="1" applyFont="1" applyAlignment="1">
      <alignment horizontal="center" vertical="top"/>
    </xf>
    <xf numFmtId="2" fontId="58" fillId="0" borderId="25" xfId="0" applyNumberFormat="1" applyFont="1" applyBorder="1" applyAlignment="1">
      <alignment horizontal="center" vertical="top"/>
    </xf>
    <xf numFmtId="164" fontId="58" fillId="0" borderId="0" xfId="0" quotePrefix="1" applyNumberFormat="1" applyFont="1" applyAlignment="1">
      <alignment horizontal="center"/>
    </xf>
    <xf numFmtId="0" fontId="58" fillId="0" borderId="0" xfId="0" quotePrefix="1" applyFont="1" applyAlignment="1">
      <alignment horizontal="center"/>
    </xf>
    <xf numFmtId="2" fontId="33" fillId="0" borderId="0" xfId="0" applyNumberFormat="1" applyFont="1" applyAlignment="1">
      <alignment horizontal="center" vertical="center"/>
    </xf>
    <xf numFmtId="2" fontId="33" fillId="0" borderId="25" xfId="0" applyNumberFormat="1" applyFont="1" applyBorder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64" fillId="0" borderId="0" xfId="0" applyFont="1" applyAlignment="1" applyProtection="1">
      <alignment horizontal="left" vertical="center" wrapText="1"/>
      <protection locked="0"/>
    </xf>
    <xf numFmtId="0" fontId="65" fillId="0" borderId="0" xfId="0" applyFont="1" applyAlignment="1">
      <alignment horizontal="center" vertical="center"/>
    </xf>
    <xf numFmtId="0" fontId="58" fillId="0" borderId="0" xfId="0" applyFont="1" applyAlignment="1">
      <alignment horizontal="left"/>
    </xf>
    <xf numFmtId="0" fontId="58" fillId="0" borderId="0" xfId="0" applyFont="1" applyAlignment="1">
      <alignment horizontal="center" wrapText="1"/>
    </xf>
    <xf numFmtId="0" fontId="64" fillId="0" borderId="0" xfId="0" applyFont="1" applyAlignment="1">
      <alignment horizontal="left" vertical="center" wrapText="1"/>
    </xf>
    <xf numFmtId="0" fontId="58" fillId="0" borderId="0" xfId="0" applyFont="1" applyAlignment="1">
      <alignment horizontal="right" vertical="center"/>
    </xf>
    <xf numFmtId="0" fontId="65" fillId="0" borderId="0" xfId="0" applyFont="1" applyAlignment="1">
      <alignment horizontal="center" wrapText="1"/>
    </xf>
    <xf numFmtId="0" fontId="33" fillId="0" borderId="0" xfId="0" applyFont="1" applyAlignment="1" applyProtection="1">
      <alignment horizontal="right" vertical="center"/>
      <protection locked="0"/>
    </xf>
    <xf numFmtId="1" fontId="58" fillId="0" borderId="0" xfId="0" applyNumberFormat="1" applyFont="1" applyAlignment="1">
      <alignment horizontal="center"/>
    </xf>
    <xf numFmtId="0" fontId="39" fillId="0" borderId="22" xfId="0" applyFont="1" applyBorder="1" applyAlignment="1">
      <alignment horizontal="center" vertical="center" wrapText="1" shrinkToFit="1"/>
    </xf>
    <xf numFmtId="0" fontId="39" fillId="0" borderId="23" xfId="0" applyFont="1" applyBorder="1" applyAlignment="1">
      <alignment horizontal="center" vertical="center" wrapText="1" shrinkToFit="1"/>
    </xf>
    <xf numFmtId="0" fontId="39" fillId="0" borderId="24" xfId="0" applyFont="1" applyBorder="1" applyAlignment="1">
      <alignment horizontal="center" vertical="center" wrapText="1" shrinkToFit="1"/>
    </xf>
    <xf numFmtId="0" fontId="39" fillId="0" borderId="16" xfId="0" applyFont="1" applyBorder="1" applyAlignment="1">
      <alignment horizontal="center" vertical="center" wrapText="1" shrinkToFit="1"/>
    </xf>
    <xf numFmtId="0" fontId="39" fillId="0" borderId="19" xfId="0" applyFont="1" applyBorder="1" applyAlignment="1">
      <alignment horizontal="center" vertical="center" wrapText="1" shrinkToFit="1"/>
    </xf>
    <xf numFmtId="0" fontId="50" fillId="0" borderId="16" xfId="0" applyFont="1" applyBorder="1" applyAlignment="1">
      <alignment horizontal="center" vertical="center" wrapText="1" shrinkToFit="1"/>
    </xf>
    <xf numFmtId="0" fontId="50" fillId="0" borderId="19" xfId="0" applyFont="1" applyBorder="1" applyAlignment="1">
      <alignment horizontal="center" vertical="center" wrapText="1" shrinkToFit="1"/>
    </xf>
    <xf numFmtId="164" fontId="58" fillId="0" borderId="0" xfId="0" applyNumberFormat="1" applyFont="1" applyAlignment="1">
      <alignment horizontal="center"/>
    </xf>
    <xf numFmtId="164" fontId="66" fillId="0" borderId="0" xfId="0" applyNumberFormat="1" applyFont="1" applyAlignment="1">
      <alignment horizontal="center" vertical="center"/>
    </xf>
    <xf numFmtId="0" fontId="65" fillId="0" borderId="0" xfId="0" applyFont="1" applyAlignment="1">
      <alignment horizontal="center"/>
    </xf>
    <xf numFmtId="164" fontId="58" fillId="0" borderId="0" xfId="0" applyNumberFormat="1" applyFont="1" applyAlignment="1">
      <alignment horizontal="right"/>
    </xf>
    <xf numFmtId="164" fontId="66" fillId="0" borderId="0" xfId="0" applyNumberFormat="1" applyFont="1" applyAlignment="1">
      <alignment horizontal="right"/>
    </xf>
    <xf numFmtId="0" fontId="66" fillId="0" borderId="0" xfId="0" applyFont="1" applyAlignment="1">
      <alignment horizontal="right"/>
    </xf>
    <xf numFmtId="0" fontId="50" fillId="0" borderId="22" xfId="0" applyFont="1" applyBorder="1" applyAlignment="1">
      <alignment horizontal="center" vertical="center" wrapText="1" shrinkToFit="1"/>
    </xf>
    <xf numFmtId="0" fontId="50" fillId="0" borderId="23" xfId="0" applyFont="1" applyBorder="1" applyAlignment="1">
      <alignment horizontal="center" vertical="center" wrapText="1" shrinkToFit="1"/>
    </xf>
    <xf numFmtId="0" fontId="50" fillId="0" borderId="24" xfId="0" applyFont="1" applyBorder="1" applyAlignment="1">
      <alignment horizontal="center" vertical="center" wrapText="1" shrinkToFit="1"/>
    </xf>
    <xf numFmtId="0" fontId="22" fillId="0" borderId="0" xfId="0" applyFont="1" applyAlignment="1">
      <alignment horizontal="center" vertical="center" wrapText="1" shrinkToFit="1"/>
    </xf>
    <xf numFmtId="0" fontId="23" fillId="0" borderId="0" xfId="0" applyFont="1" applyAlignment="1">
      <alignment horizontal="center" vertical="center" wrapText="1" shrinkToFit="1"/>
    </xf>
    <xf numFmtId="0" fontId="0" fillId="0" borderId="0" xfId="0" applyAlignment="1">
      <alignment horizontal="left" vertical="top" wrapText="1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8" fillId="0" borderId="0" xfId="0" applyFont="1" applyAlignment="1">
      <alignment horizontal="center" vertical="center" wrapText="1" shrinkToFit="1"/>
    </xf>
    <xf numFmtId="0" fontId="8" fillId="0" borderId="39" xfId="0" applyFont="1" applyBorder="1" applyAlignment="1">
      <alignment horizontal="center" vertical="center" wrapText="1" shrinkToFit="1"/>
    </xf>
    <xf numFmtId="164" fontId="15" fillId="0" borderId="1" xfId="0" applyNumberFormat="1" applyFont="1" applyBorder="1" applyAlignment="1">
      <alignment horizontal="center" vertical="center" wrapText="1" shrinkToFit="1"/>
    </xf>
    <xf numFmtId="0" fontId="14" fillId="0" borderId="1" xfId="0" applyFont="1" applyBorder="1" applyAlignment="1">
      <alignment horizontal="center" vertical="center" wrapText="1" shrinkToFit="1"/>
    </xf>
    <xf numFmtId="0" fontId="6" fillId="4" borderId="0" xfId="0" applyFont="1" applyFill="1" applyAlignment="1">
      <alignment horizontal="left" vertical="center" wrapText="1" shrinkToFit="1"/>
    </xf>
    <xf numFmtId="0" fontId="43" fillId="0" borderId="36" xfId="0" applyFont="1" applyBorder="1" applyAlignment="1">
      <alignment horizontal="center" vertical="top" wrapText="1" shrinkToFit="1"/>
    </xf>
    <xf numFmtId="0" fontId="43" fillId="0" borderId="37" xfId="0" applyFont="1" applyBorder="1" applyAlignment="1">
      <alignment horizontal="center" vertical="top" wrapText="1" shrinkToFit="1"/>
    </xf>
    <xf numFmtId="0" fontId="43" fillId="0" borderId="38" xfId="0" applyFont="1" applyBorder="1" applyAlignment="1">
      <alignment horizontal="center" vertical="top" wrapText="1" shrinkToFit="1"/>
    </xf>
    <xf numFmtId="0" fontId="45" fillId="0" borderId="0" xfId="0" applyFont="1" applyAlignment="1">
      <alignment horizontal="center" wrapText="1" shrinkToFit="1"/>
    </xf>
    <xf numFmtId="0" fontId="43" fillId="0" borderId="0" xfId="0" applyFont="1" applyAlignment="1">
      <alignment horizontal="center" vertical="center" wrapText="1" shrinkToFit="1"/>
    </xf>
    <xf numFmtId="0" fontId="8" fillId="0" borderId="0" xfId="0" applyFont="1" applyAlignment="1">
      <alignment horizontal="left" vertical="center" wrapText="1" shrinkToFit="1"/>
    </xf>
    <xf numFmtId="0" fontId="14" fillId="0" borderId="5" xfId="0" applyFont="1" applyBorder="1" applyAlignment="1">
      <alignment horizontal="center" vertical="center" wrapText="1" shrinkToFit="1"/>
    </xf>
    <xf numFmtId="0" fontId="14" fillId="0" borderId="6" xfId="0" applyFont="1" applyBorder="1" applyAlignment="1">
      <alignment horizontal="center" vertical="center" wrapText="1" shrinkToFit="1"/>
    </xf>
    <xf numFmtId="164" fontId="15" fillId="0" borderId="5" xfId="0" applyNumberFormat="1" applyFont="1" applyBorder="1" applyAlignment="1">
      <alignment horizontal="center" vertical="center" wrapText="1" shrinkToFit="1"/>
    </xf>
    <xf numFmtId="164" fontId="15" fillId="0" borderId="6" xfId="0" applyNumberFormat="1" applyFont="1" applyBorder="1" applyAlignment="1">
      <alignment horizontal="center" vertical="center" wrapText="1" shrinkToFit="1"/>
    </xf>
    <xf numFmtId="164" fontId="6" fillId="0" borderId="0" xfId="0" applyNumberFormat="1" applyFont="1" applyAlignment="1">
      <alignment horizontal="center" wrapText="1" shrinkToFit="1"/>
    </xf>
    <xf numFmtId="0" fontId="6" fillId="0" borderId="0" xfId="0" applyFont="1" applyAlignment="1">
      <alignment horizontal="center" vertical="top" wrapText="1" shrinkToFit="1"/>
    </xf>
    <xf numFmtId="0" fontId="22" fillId="0" borderId="1" xfId="0" applyFont="1" applyBorder="1" applyAlignment="1">
      <alignment horizontal="center" vertical="center" wrapText="1" shrinkToFit="1"/>
    </xf>
    <xf numFmtId="0" fontId="43" fillId="0" borderId="0" xfId="0" applyFont="1" applyAlignment="1">
      <alignment horizontal="center" vertical="top" wrapText="1" shrinkToFit="1"/>
    </xf>
    <xf numFmtId="0" fontId="6" fillId="2" borderId="5" xfId="0" applyFont="1" applyFill="1" applyBorder="1" applyAlignment="1">
      <alignment horizontal="center" vertical="center" wrapText="1" shrinkToFit="1"/>
    </xf>
    <xf numFmtId="0" fontId="6" fillId="2" borderId="7" xfId="0" applyFont="1" applyFill="1" applyBorder="1" applyAlignment="1">
      <alignment horizontal="center" vertical="center" wrapText="1" shrinkToFit="1"/>
    </xf>
    <xf numFmtId="0" fontId="6" fillId="2" borderId="6" xfId="0" applyFont="1" applyFill="1" applyBorder="1" applyAlignment="1">
      <alignment horizontal="center" vertical="center" wrapText="1" shrinkToFit="1"/>
    </xf>
    <xf numFmtId="0" fontId="6" fillId="2" borderId="11" xfId="0" applyFont="1" applyFill="1" applyBorder="1" applyAlignment="1">
      <alignment horizontal="center" vertical="center" wrapText="1" shrinkToFit="1"/>
    </xf>
    <xf numFmtId="0" fontId="6" fillId="2" borderId="13" xfId="0" applyFont="1" applyFill="1" applyBorder="1" applyAlignment="1">
      <alignment horizontal="center" vertical="center" wrapText="1" shrinkToFit="1"/>
    </xf>
    <xf numFmtId="0" fontId="6" fillId="2" borderId="8" xfId="0" applyFont="1" applyFill="1" applyBorder="1" applyAlignment="1">
      <alignment horizontal="center" vertical="center" wrapText="1" shrinkToFit="1"/>
    </xf>
    <xf numFmtId="0" fontId="6" fillId="2" borderId="10" xfId="0" applyFont="1" applyFill="1" applyBorder="1" applyAlignment="1">
      <alignment horizontal="center" vertical="center" wrapText="1" shrinkToFit="1"/>
    </xf>
    <xf numFmtId="0" fontId="6" fillId="0" borderId="15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6" fillId="0" borderId="14" xfId="0" applyFont="1" applyBorder="1" applyAlignment="1">
      <alignment horizontal="center" vertical="center" wrapText="1" shrinkToFit="1"/>
    </xf>
    <xf numFmtId="0" fontId="18" fillId="0" borderId="0" xfId="0" applyFont="1" applyAlignment="1">
      <alignment horizontal="left" vertical="center" wrapText="1" shrinkToFit="1"/>
    </xf>
    <xf numFmtId="0" fontId="0" fillId="0" borderId="0" xfId="0" applyAlignment="1">
      <alignment horizontal="right" vertical="center" wrapText="1" shrinkToFit="1"/>
    </xf>
    <xf numFmtId="0" fontId="21" fillId="0" borderId="0" xfId="0" applyFont="1" applyAlignment="1">
      <alignment horizontal="center" vertical="center" wrapText="1" shrinkToFit="1"/>
    </xf>
    <xf numFmtId="0" fontId="23" fillId="0" borderId="0" xfId="0" applyFont="1" applyAlignment="1">
      <alignment horizontal="left" vertical="center" wrapText="1" shrinkToFit="1"/>
    </xf>
    <xf numFmtId="0" fontId="0" fillId="0" borderId="0" xfId="0" applyAlignment="1">
      <alignment horizontal="left" vertical="center" wrapText="1" shrinkToFit="1"/>
    </xf>
    <xf numFmtId="0" fontId="0" fillId="0" borderId="9" xfId="0" applyBorder="1" applyAlignment="1">
      <alignment horizontal="center" vertical="center" wrapText="1" shrinkToFit="1"/>
    </xf>
    <xf numFmtId="0" fontId="0" fillId="0" borderId="0" xfId="0" applyAlignment="1">
      <alignment horizontal="center" vertical="center" wrapText="1" shrinkToFit="1"/>
    </xf>
    <xf numFmtId="0" fontId="22" fillId="0" borderId="0" xfId="0" applyFont="1" applyAlignment="1">
      <alignment horizontal="center" vertical="center"/>
    </xf>
    <xf numFmtId="2" fontId="17" fillId="5" borderId="0" xfId="0" applyNumberFormat="1" applyFont="1" applyFill="1" applyAlignment="1">
      <alignment horizontal="center" vertical="center" wrapText="1" shrinkToFit="1"/>
    </xf>
    <xf numFmtId="0" fontId="22" fillId="0" borderId="0" xfId="0" applyFont="1" applyAlignment="1">
      <alignment horizontal="center"/>
    </xf>
    <xf numFmtId="164" fontId="0" fillId="0" borderId="0" xfId="0" applyNumberFormat="1" applyAlignment="1">
      <alignment horizontal="left" vertical="center" wrapText="1" shrinkToFit="1"/>
    </xf>
    <xf numFmtId="0" fontId="18" fillId="0" borderId="0" xfId="0" applyFont="1" applyAlignment="1">
      <alignment horizontal="center" vertical="center" wrapText="1" shrinkToFit="1"/>
    </xf>
    <xf numFmtId="0" fontId="21" fillId="0" borderId="0" xfId="0" applyFont="1" applyAlignment="1">
      <alignment horizontal="left" vertical="center" wrapText="1" shrinkToFit="1"/>
    </xf>
    <xf numFmtId="0" fontId="0" fillId="0" borderId="12" xfId="0" applyBorder="1" applyAlignment="1">
      <alignment horizontal="center" vertical="center" wrapText="1" shrinkToFit="1"/>
    </xf>
    <xf numFmtId="164" fontId="0" fillId="0" borderId="0" xfId="0" applyNumberFormat="1" applyAlignment="1">
      <alignment horizontal="center" vertical="center" wrapText="1" shrinkToFit="1"/>
    </xf>
    <xf numFmtId="2" fontId="18" fillId="0" borderId="0" xfId="0" applyNumberFormat="1" applyFont="1" applyAlignment="1">
      <alignment horizontal="center" vertical="center" wrapText="1" shrinkToFit="1"/>
    </xf>
    <xf numFmtId="168" fontId="18" fillId="0" borderId="0" xfId="0" applyNumberFormat="1" applyFont="1" applyAlignment="1">
      <alignment horizontal="center" vertical="center" wrapText="1" shrinkToFit="1"/>
    </xf>
    <xf numFmtId="168" fontId="0" fillId="0" borderId="9" xfId="0" applyNumberFormat="1" applyBorder="1" applyAlignment="1">
      <alignment horizontal="center" vertical="center" wrapText="1" shrinkToFit="1"/>
    </xf>
    <xf numFmtId="164" fontId="18" fillId="0" borderId="0" xfId="0" applyNumberFormat="1" applyFont="1" applyAlignment="1">
      <alignment horizontal="center" vertical="center" wrapText="1" shrinkToFit="1"/>
    </xf>
    <xf numFmtId="0" fontId="20" fillId="0" borderId="0" xfId="0" applyFont="1" applyAlignment="1">
      <alignment horizontal="center" vertical="center" wrapText="1" shrinkToFit="1"/>
    </xf>
    <xf numFmtId="168" fontId="0" fillId="0" borderId="0" xfId="0" applyNumberFormat="1" applyAlignment="1">
      <alignment horizontal="center" vertical="center" wrapText="1" shrinkToFit="1"/>
    </xf>
    <xf numFmtId="1" fontId="0" fillId="0" borderId="0" xfId="0" applyNumberFormat="1" applyAlignment="1">
      <alignment horizontal="center" vertical="center" wrapText="1" shrinkToFit="1"/>
    </xf>
    <xf numFmtId="2" fontId="37" fillId="0" borderId="0" xfId="0" applyNumberFormat="1" applyFont="1" applyAlignment="1">
      <alignment horizontal="center"/>
    </xf>
    <xf numFmtId="1" fontId="37" fillId="0" borderId="0" xfId="0" applyNumberFormat="1" applyFont="1" applyAlignment="1">
      <alignment horizontal="center"/>
    </xf>
    <xf numFmtId="0" fontId="37" fillId="0" borderId="0" xfId="0" applyFont="1"/>
    <xf numFmtId="0" fontId="0" fillId="0" borderId="0" xfId="0" applyAlignment="1">
      <alignment horizontal="right" vertical="top"/>
    </xf>
    <xf numFmtId="0" fontId="0" fillId="0" borderId="0" xfId="0" applyAlignment="1">
      <alignment horizontal="right"/>
    </xf>
    <xf numFmtId="0" fontId="20" fillId="0" borderId="0" xfId="0" applyFont="1" applyAlignment="1">
      <alignment horizontal="left"/>
    </xf>
    <xf numFmtId="0" fontId="30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top" wrapText="1" shrinkToFit="1"/>
    </xf>
    <xf numFmtId="0" fontId="30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8" fillId="0" borderId="27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 wrapText="1" shrinkToFit="1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 applyAlignment="1">
      <alignment horizontal="center" vertical="center" wrapText="1" shrinkToFit="1"/>
    </xf>
    <xf numFmtId="0" fontId="35" fillId="0" borderId="0" xfId="0" applyFont="1" applyAlignment="1">
      <alignment horizontal="center"/>
    </xf>
    <xf numFmtId="0" fontId="35" fillId="0" borderId="0" xfId="0" applyFont="1" applyAlignment="1">
      <alignment horizontal="center" vertical="center"/>
    </xf>
    <xf numFmtId="0" fontId="33" fillId="4" borderId="0" xfId="0" applyFont="1" applyFill="1" applyAlignment="1">
      <alignment horizontal="center" vertical="center"/>
    </xf>
    <xf numFmtId="0" fontId="33" fillId="4" borderId="0" xfId="0" applyFont="1" applyFill="1" applyAlignment="1">
      <alignment horizontal="center"/>
    </xf>
    <xf numFmtId="0" fontId="32" fillId="0" borderId="16" xfId="0" applyFont="1" applyBorder="1" applyAlignment="1">
      <alignment horizontal="left" vertical="center"/>
    </xf>
    <xf numFmtId="0" fontId="32" fillId="0" borderId="19" xfId="0" applyFont="1" applyBorder="1" applyAlignment="1">
      <alignment horizontal="left" vertical="center"/>
    </xf>
    <xf numFmtId="0" fontId="31" fillId="0" borderId="0" xfId="0" applyFont="1" applyAlignment="1">
      <alignment horizontal="center"/>
    </xf>
    <xf numFmtId="0" fontId="32" fillId="6" borderId="18" xfId="0" applyFont="1" applyFill="1" applyBorder="1" applyAlignment="1">
      <alignment horizontal="center"/>
    </xf>
    <xf numFmtId="0" fontId="32" fillId="6" borderId="14" xfId="0" applyFont="1" applyFill="1" applyBorder="1" applyAlignment="1">
      <alignment horizontal="center"/>
    </xf>
    <xf numFmtId="0" fontId="32" fillId="6" borderId="21" xfId="0" applyFont="1" applyFill="1" applyBorder="1" applyAlignment="1">
      <alignment horizontal="center"/>
    </xf>
    <xf numFmtId="0" fontId="32" fillId="6" borderId="16" xfId="0" applyFont="1" applyFill="1" applyBorder="1" applyAlignment="1">
      <alignment horizontal="center"/>
    </xf>
    <xf numFmtId="0" fontId="32" fillId="6" borderId="15" xfId="0" applyFont="1" applyFill="1" applyBorder="1" applyAlignment="1">
      <alignment horizontal="center"/>
    </xf>
    <xf numFmtId="0" fontId="32" fillId="6" borderId="19" xfId="0" applyFont="1" applyFill="1" applyBorder="1" applyAlignment="1">
      <alignment horizontal="center"/>
    </xf>
    <xf numFmtId="0" fontId="32" fillId="0" borderId="18" xfId="0" applyFont="1" applyBorder="1" applyAlignment="1">
      <alignment horizontal="center" vertical="center"/>
    </xf>
    <xf numFmtId="0" fontId="32" fillId="0" borderId="21" xfId="0" applyFont="1" applyBorder="1" applyAlignment="1">
      <alignment horizontal="center" vertical="center"/>
    </xf>
    <xf numFmtId="0" fontId="32" fillId="0" borderId="22" xfId="0" applyFont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2" fillId="0" borderId="0" xfId="0" applyFont="1" applyAlignment="1">
      <alignment horizontal="center"/>
    </xf>
    <xf numFmtId="0" fontId="45" fillId="0" borderId="0" xfId="0" applyFont="1" applyAlignment="1">
      <alignment horizontal="center" vertical="center" wrapText="1" shrinkToFit="1"/>
    </xf>
    <xf numFmtId="184" fontId="7" fillId="0" borderId="0" xfId="0" applyNumberFormat="1" applyFont="1" applyAlignment="1">
      <alignment horizontal="left" vertical="center" wrapText="1" shrinkToFit="1"/>
    </xf>
    <xf numFmtId="0" fontId="11" fillId="2" borderId="15" xfId="0" applyFont="1" applyFill="1" applyBorder="1" applyAlignment="1">
      <alignment horizontal="center" vertical="center" wrapText="1" shrinkToFit="1"/>
    </xf>
    <xf numFmtId="0" fontId="11" fillId="2" borderId="0" xfId="0" applyFont="1" applyFill="1" applyAlignment="1">
      <alignment horizontal="center" vertical="center" wrapText="1" shrinkToFit="1"/>
    </xf>
    <xf numFmtId="0" fontId="11" fillId="2" borderId="14" xfId="0" applyFont="1" applyFill="1" applyBorder="1" applyAlignment="1">
      <alignment horizontal="center" vertical="center" wrapText="1" shrinkToFit="1"/>
    </xf>
    <xf numFmtId="0" fontId="11" fillId="2" borderId="19" xfId="0" applyFont="1" applyFill="1" applyBorder="1" applyAlignment="1">
      <alignment horizontal="center" vertical="center" wrapText="1" shrinkToFit="1"/>
    </xf>
    <xf numFmtId="0" fontId="11" fillId="2" borderId="20" xfId="0" applyFont="1" applyFill="1" applyBorder="1" applyAlignment="1">
      <alignment horizontal="center" vertical="center" wrapText="1" shrinkToFit="1"/>
    </xf>
    <xf numFmtId="0" fontId="11" fillId="2" borderId="21" xfId="0" applyFont="1" applyFill="1" applyBorder="1" applyAlignment="1">
      <alignment horizontal="center" vertical="center" wrapText="1" shrinkToFit="1"/>
    </xf>
    <xf numFmtId="184" fontId="7" fillId="0" borderId="0" xfId="0" applyNumberFormat="1" applyFont="1" applyAlignment="1">
      <alignment horizontal="center" vertical="center" wrapText="1" shrinkToFit="1"/>
    </xf>
    <xf numFmtId="0" fontId="47" fillId="4" borderId="0" xfId="0" applyFont="1" applyFill="1" applyAlignment="1">
      <alignment horizontal="center" vertical="top" wrapText="1" shrinkToFit="1"/>
    </xf>
    <xf numFmtId="0" fontId="11" fillId="0" borderId="0" xfId="0" applyFont="1" applyAlignment="1">
      <alignment horizontal="right" vertical="top" wrapText="1" shrinkToFit="1"/>
    </xf>
    <xf numFmtId="0" fontId="6" fillId="0" borderId="34" xfId="0" applyFont="1" applyBorder="1" applyAlignment="1">
      <alignment horizontal="center" vertical="center" wrapText="1" shrinkToFit="1"/>
    </xf>
    <xf numFmtId="0" fontId="6" fillId="0" borderId="9" xfId="0" applyFont="1" applyBorder="1" applyAlignment="1">
      <alignment horizontal="center" vertical="center" wrapText="1" shrinkToFit="1"/>
    </xf>
    <xf numFmtId="0" fontId="6" fillId="0" borderId="35" xfId="0" applyFont="1" applyBorder="1" applyAlignment="1">
      <alignment horizontal="center" vertical="center" wrapText="1" shrinkToFit="1"/>
    </xf>
    <xf numFmtId="0" fontId="30" fillId="0" borderId="0" xfId="0" applyFont="1" applyAlignment="1">
      <alignment horizontal="center" wrapText="1" shrinkToFit="1"/>
    </xf>
  </cellXfs>
  <cellStyles count="3">
    <cellStyle name="Neutral" xfId="2" builtinId="28"/>
    <cellStyle name="Normal" xfId="0" builtinId="0"/>
    <cellStyle name="Percent" xfId="1" builtinId="5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128592</xdr:colOff>
      <xdr:row>10</xdr:row>
      <xdr:rowOff>19050</xdr:rowOff>
    </xdr:from>
    <xdr:to>
      <xdr:col>8</xdr:col>
      <xdr:colOff>131767</xdr:colOff>
      <xdr:row>11</xdr:row>
      <xdr:rowOff>12700</xdr:rowOff>
    </xdr:to>
    <xdr:cxnSp macro="">
      <xdr:nvCxnSpPr>
        <xdr:cNvPr id="2" name="Straight Arrow Connector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/>
      </xdr:nvCxnSpPr>
      <xdr:spPr>
        <a:xfrm>
          <a:off x="3290892" y="2907030"/>
          <a:ext cx="3175" cy="168910"/>
        </a:xfrm>
        <a:prstGeom prst="straightConnector1">
          <a:avLst/>
        </a:prstGeom>
        <a:ln w="3175"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125186</xdr:colOff>
      <xdr:row>14</xdr:row>
      <xdr:rowOff>32657</xdr:rowOff>
    </xdr:from>
    <xdr:to>
      <xdr:col>8</xdr:col>
      <xdr:colOff>125186</xdr:colOff>
      <xdr:row>15</xdr:row>
      <xdr:rowOff>0</xdr:rowOff>
    </xdr:to>
    <xdr:cxnSp macro="">
      <xdr:nvCxnSpPr>
        <xdr:cNvPr id="3" name="Straight Arrow Connector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>
          <a:off x="3287486" y="4116977"/>
          <a:ext cx="0" cy="247106"/>
        </a:xfrm>
        <a:prstGeom prst="straightConnector1">
          <a:avLst/>
        </a:prstGeom>
        <a:ln w="3175"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15</xdr:row>
      <xdr:rowOff>185057</xdr:rowOff>
    </xdr:from>
    <xdr:to>
      <xdr:col>8</xdr:col>
      <xdr:colOff>5443</xdr:colOff>
      <xdr:row>15</xdr:row>
      <xdr:rowOff>185057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CxnSpPr/>
      </xdr:nvCxnSpPr>
      <xdr:spPr>
        <a:xfrm>
          <a:off x="1592580" y="5092337"/>
          <a:ext cx="1575163" cy="0"/>
        </a:xfrm>
        <a:prstGeom prst="straightConnector1">
          <a:avLst/>
        </a:prstGeom>
        <a:ln>
          <a:solidFill>
            <a:schemeClr val="tx1"/>
          </a:solidFill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134716</xdr:colOff>
      <xdr:row>11</xdr:row>
      <xdr:rowOff>6803</xdr:rowOff>
    </xdr:from>
    <xdr:to>
      <xdr:col>8</xdr:col>
      <xdr:colOff>136071</xdr:colOff>
      <xdr:row>12</xdr:row>
      <xdr:rowOff>0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3297016" y="3070043"/>
          <a:ext cx="1355" cy="297997"/>
        </a:xfrm>
        <a:prstGeom prst="straightConnector1">
          <a:avLst/>
        </a:prstGeom>
        <a:ln w="3175"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136071</xdr:colOff>
      <xdr:row>15</xdr:row>
      <xdr:rowOff>0</xdr:rowOff>
    </xdr:from>
    <xdr:to>
      <xdr:col>8</xdr:col>
      <xdr:colOff>136072</xdr:colOff>
      <xdr:row>15</xdr:row>
      <xdr:rowOff>10886</xdr:rowOff>
    </xdr:to>
    <xdr:cxnSp macro="">
      <xdr:nvCxnSpPr>
        <xdr:cNvPr id="6" name="Straight Arrow Connector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CxnSpPr/>
      </xdr:nvCxnSpPr>
      <xdr:spPr>
        <a:xfrm>
          <a:off x="3298371" y="4407626"/>
          <a:ext cx="1" cy="510540"/>
        </a:xfrm>
        <a:prstGeom prst="straightConnector1">
          <a:avLst/>
        </a:prstGeom>
        <a:ln w="3175"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123830</xdr:colOff>
      <xdr:row>12</xdr:row>
      <xdr:rowOff>34017</xdr:rowOff>
    </xdr:from>
    <xdr:to>
      <xdr:col>8</xdr:col>
      <xdr:colOff>125185</xdr:colOff>
      <xdr:row>12</xdr:row>
      <xdr:rowOff>332014</xdr:rowOff>
    </xdr:to>
    <xdr:cxnSp macro="">
      <xdr:nvCxnSpPr>
        <xdr:cNvPr id="7" name="Straight Arrow Connector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CxnSpPr/>
      </xdr:nvCxnSpPr>
      <xdr:spPr>
        <a:xfrm>
          <a:off x="3286130" y="3402057"/>
          <a:ext cx="1355" cy="297997"/>
        </a:xfrm>
        <a:prstGeom prst="straightConnector1">
          <a:avLst/>
        </a:prstGeom>
        <a:ln w="3175"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123830</xdr:colOff>
      <xdr:row>13</xdr:row>
      <xdr:rowOff>23131</xdr:rowOff>
    </xdr:from>
    <xdr:to>
      <xdr:col>8</xdr:col>
      <xdr:colOff>125185</xdr:colOff>
      <xdr:row>13</xdr:row>
      <xdr:rowOff>321128</xdr:rowOff>
    </xdr:to>
    <xdr:cxnSp macro="">
      <xdr:nvCxnSpPr>
        <xdr:cNvPr id="8" name="Straight Arrow Connector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/>
      </xdr:nvCxnSpPr>
      <xdr:spPr>
        <a:xfrm>
          <a:off x="3286130" y="3749311"/>
          <a:ext cx="1355" cy="297997"/>
        </a:xfrm>
        <a:prstGeom prst="straightConnector1">
          <a:avLst/>
        </a:prstGeom>
        <a:ln w="3175"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82247</xdr:colOff>
      <xdr:row>80</xdr:row>
      <xdr:rowOff>9524</xdr:rowOff>
    </xdr:from>
    <xdr:to>
      <xdr:col>6</xdr:col>
      <xdr:colOff>293618</xdr:colOff>
      <xdr:row>84</xdr:row>
      <xdr:rowOff>47624</xdr:rowOff>
    </xdr:to>
    <xdr:sp macro="" textlink="">
      <xdr:nvSpPr>
        <xdr:cNvPr id="2" name="Up Arrow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3762707" y="14685644"/>
          <a:ext cx="211371" cy="77724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19464</xdr:colOff>
      <xdr:row>80</xdr:row>
      <xdr:rowOff>0</xdr:rowOff>
    </xdr:from>
    <xdr:to>
      <xdr:col>3</xdr:col>
      <xdr:colOff>65183</xdr:colOff>
      <xdr:row>84</xdr:row>
      <xdr:rowOff>38100</xdr:rowOff>
    </xdr:to>
    <xdr:sp macro="" textlink="">
      <xdr:nvSpPr>
        <xdr:cNvPr id="3" name="Up Arrow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1943514" y="18211800"/>
          <a:ext cx="45719" cy="1066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9525</xdr:colOff>
      <xdr:row>77</xdr:row>
      <xdr:rowOff>171450</xdr:rowOff>
    </xdr:from>
    <xdr:to>
      <xdr:col>10</xdr:col>
      <xdr:colOff>9525</xdr:colOff>
      <xdr:row>78</xdr:row>
      <xdr:rowOff>0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1929765" y="14291310"/>
          <a:ext cx="4122420" cy="11430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19050</xdr:colOff>
      <xdr:row>79</xdr:row>
      <xdr:rowOff>9525</xdr:rowOff>
    </xdr:from>
    <xdr:to>
      <xdr:col>6</xdr:col>
      <xdr:colOff>190500</xdr:colOff>
      <xdr:row>79</xdr:row>
      <xdr:rowOff>38100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CxnSpPr/>
      </xdr:nvCxnSpPr>
      <xdr:spPr>
        <a:xfrm>
          <a:off x="1943100" y="18030825"/>
          <a:ext cx="1933575" cy="28575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247650</xdr:colOff>
      <xdr:row>79</xdr:row>
      <xdr:rowOff>0</xdr:rowOff>
    </xdr:from>
    <xdr:to>
      <xdr:col>10</xdr:col>
      <xdr:colOff>38100</xdr:colOff>
      <xdr:row>79</xdr:row>
      <xdr:rowOff>28575</xdr:rowOff>
    </xdr:to>
    <xdr:cxnSp macro="">
      <xdr:nvCxnSpPr>
        <xdr:cNvPr id="6" name="Straight Arrow Connector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CxnSpPr/>
      </xdr:nvCxnSpPr>
      <xdr:spPr>
        <a:xfrm flipV="1">
          <a:off x="3933825" y="18021300"/>
          <a:ext cx="2219325" cy="28575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</xdr:colOff>
      <xdr:row>161</xdr:row>
      <xdr:rowOff>171450</xdr:rowOff>
    </xdr:from>
    <xdr:to>
      <xdr:col>10</xdr:col>
      <xdr:colOff>9525</xdr:colOff>
      <xdr:row>162</xdr:row>
      <xdr:rowOff>0</xdr:rowOff>
    </xdr:to>
    <xdr:cxnSp macro="">
      <xdr:nvCxnSpPr>
        <xdr:cNvPr id="8" name="Straight Arrow Connector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CxnSpPr/>
      </xdr:nvCxnSpPr>
      <xdr:spPr>
        <a:xfrm>
          <a:off x="1929765" y="30140910"/>
          <a:ext cx="4122420" cy="11430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339587</xdr:colOff>
      <xdr:row>163</xdr:row>
      <xdr:rowOff>0</xdr:rowOff>
    </xdr:from>
    <xdr:to>
      <xdr:col>6</xdr:col>
      <xdr:colOff>223631</xdr:colOff>
      <xdr:row>163</xdr:row>
      <xdr:rowOff>8282</xdr:rowOff>
    </xdr:to>
    <xdr:cxnSp macro="">
      <xdr:nvCxnSpPr>
        <xdr:cNvPr id="9" name="Straight Arrow Connector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CxnSpPr/>
      </xdr:nvCxnSpPr>
      <xdr:spPr>
        <a:xfrm>
          <a:off x="2259827" y="30441900"/>
          <a:ext cx="1644264" cy="8282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248479</xdr:colOff>
      <xdr:row>162</xdr:row>
      <xdr:rowOff>289891</xdr:rowOff>
    </xdr:from>
    <xdr:to>
      <xdr:col>9</xdr:col>
      <xdr:colOff>265043</xdr:colOff>
      <xdr:row>163</xdr:row>
      <xdr:rowOff>8283</xdr:rowOff>
    </xdr:to>
    <xdr:cxnSp macro="">
      <xdr:nvCxnSpPr>
        <xdr:cNvPr id="10" name="Straight Arrow Connector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CxnSpPr/>
      </xdr:nvCxnSpPr>
      <xdr:spPr>
        <a:xfrm flipV="1">
          <a:off x="3928939" y="30442231"/>
          <a:ext cx="1822504" cy="7952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381000</xdr:colOff>
      <xdr:row>163</xdr:row>
      <xdr:rowOff>193686</xdr:rowOff>
    </xdr:from>
    <xdr:to>
      <xdr:col>10</xdr:col>
      <xdr:colOff>241789</xdr:colOff>
      <xdr:row>163</xdr:row>
      <xdr:rowOff>195274</xdr:rowOff>
    </xdr:to>
    <xdr:cxnSp macro="">
      <xdr:nvCxnSpPr>
        <xdr:cNvPr id="13" name="Straight Arrow Connector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CxnSpPr/>
      </xdr:nvCxnSpPr>
      <xdr:spPr>
        <a:xfrm>
          <a:off x="5867400" y="30635586"/>
          <a:ext cx="417049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381000</xdr:colOff>
      <xdr:row>79</xdr:row>
      <xdr:rowOff>102577</xdr:rowOff>
    </xdr:from>
    <xdr:to>
      <xdr:col>10</xdr:col>
      <xdr:colOff>241789</xdr:colOff>
      <xdr:row>79</xdr:row>
      <xdr:rowOff>104165</xdr:rowOff>
    </xdr:to>
    <xdr:cxnSp macro="">
      <xdr:nvCxnSpPr>
        <xdr:cNvPr id="14" name="Straight Arrow Connector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CxnSpPr/>
      </xdr:nvCxnSpPr>
      <xdr:spPr>
        <a:xfrm>
          <a:off x="5867400" y="14588197"/>
          <a:ext cx="417049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276225</xdr:colOff>
      <xdr:row>283</xdr:row>
      <xdr:rowOff>9526</xdr:rowOff>
    </xdr:from>
    <xdr:to>
      <xdr:col>7</xdr:col>
      <xdr:colOff>504824</xdr:colOff>
      <xdr:row>283</xdr:row>
      <xdr:rowOff>171450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/>
      </xdr:nvSpPr>
      <xdr:spPr>
        <a:xfrm>
          <a:off x="3293745" y="46626780"/>
          <a:ext cx="1402079" cy="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266700</xdr:colOff>
      <xdr:row>290</xdr:row>
      <xdr:rowOff>9525</xdr:rowOff>
    </xdr:from>
    <xdr:to>
      <xdr:col>7</xdr:col>
      <xdr:colOff>495299</xdr:colOff>
      <xdr:row>290</xdr:row>
      <xdr:rowOff>171449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/>
      </xdr:nvSpPr>
      <xdr:spPr>
        <a:xfrm>
          <a:off x="3284220" y="46626780"/>
          <a:ext cx="1402079" cy="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247650</xdr:colOff>
      <xdr:row>283</xdr:row>
      <xdr:rowOff>180975</xdr:rowOff>
    </xdr:from>
    <xdr:to>
      <xdr:col>6</xdr:col>
      <xdr:colOff>400050</xdr:colOff>
      <xdr:row>290</xdr:row>
      <xdr:rowOff>9525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/>
      </xdr:nvSpPr>
      <xdr:spPr>
        <a:xfrm>
          <a:off x="3928110" y="46626780"/>
          <a:ext cx="152400" cy="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123031</xdr:colOff>
      <xdr:row>283</xdr:row>
      <xdr:rowOff>10318</xdr:rowOff>
    </xdr:from>
    <xdr:to>
      <xdr:col>8</xdr:col>
      <xdr:colOff>124619</xdr:colOff>
      <xdr:row>291</xdr:row>
      <xdr:rowOff>19844</xdr:rowOff>
    </xdr:to>
    <xdr:cxnSp macro="">
      <xdr:nvCxnSpPr>
        <xdr:cNvPr id="18" name="Straight Arrow Connector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CxnSpPr/>
      </xdr:nvCxnSpPr>
      <xdr:spPr>
        <a:xfrm rot="5400000">
          <a:off x="4954905" y="46625986"/>
          <a:ext cx="0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133351</xdr:colOff>
      <xdr:row>283</xdr:row>
      <xdr:rowOff>180974</xdr:rowOff>
    </xdr:from>
    <xdr:to>
      <xdr:col>7</xdr:col>
      <xdr:colOff>134939</xdr:colOff>
      <xdr:row>289</xdr:row>
      <xdr:rowOff>190499</xdr:rowOff>
    </xdr:to>
    <xdr:cxnSp macro="">
      <xdr:nvCxnSpPr>
        <xdr:cNvPr id="19" name="Straight Arrow Connector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CxnSpPr/>
      </xdr:nvCxnSpPr>
      <xdr:spPr>
        <a:xfrm rot="5400000">
          <a:off x="4325145" y="46625986"/>
          <a:ext cx="0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390526</xdr:colOff>
      <xdr:row>285</xdr:row>
      <xdr:rowOff>0</xdr:rowOff>
    </xdr:from>
    <xdr:to>
      <xdr:col>7</xdr:col>
      <xdr:colOff>180976</xdr:colOff>
      <xdr:row>285</xdr:row>
      <xdr:rowOff>1588</xdr:rowOff>
    </xdr:to>
    <xdr:cxnSp macro="">
      <xdr:nvCxnSpPr>
        <xdr:cNvPr id="20" name="Straight Arrow Connector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CxnSpPr/>
      </xdr:nvCxnSpPr>
      <xdr:spPr>
        <a:xfrm rot="10800000">
          <a:off x="4070986" y="46626780"/>
          <a:ext cx="300990" cy="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28575</xdr:colOff>
      <xdr:row>285</xdr:row>
      <xdr:rowOff>0</xdr:rowOff>
    </xdr:from>
    <xdr:to>
      <xdr:col>6</xdr:col>
      <xdr:colOff>247651</xdr:colOff>
      <xdr:row>285</xdr:row>
      <xdr:rowOff>1588</xdr:rowOff>
    </xdr:to>
    <xdr:cxnSp macro="">
      <xdr:nvCxnSpPr>
        <xdr:cNvPr id="21" name="Straight Arrow Connector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CxnSpPr/>
      </xdr:nvCxnSpPr>
      <xdr:spPr>
        <a:xfrm>
          <a:off x="3709035" y="46626780"/>
          <a:ext cx="219076" cy="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290863</xdr:colOff>
      <xdr:row>291</xdr:row>
      <xdr:rowOff>3</xdr:rowOff>
    </xdr:from>
    <xdr:to>
      <xdr:col>5</xdr:col>
      <xdr:colOff>292723</xdr:colOff>
      <xdr:row>292</xdr:row>
      <xdr:rowOff>9294</xdr:rowOff>
    </xdr:to>
    <xdr:cxnSp macro="">
      <xdr:nvCxnSpPr>
        <xdr:cNvPr id="22" name="Straight Arrow Connector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CxnSpPr/>
      </xdr:nvCxnSpPr>
      <xdr:spPr>
        <a:xfrm rot="16200000" flipV="1">
          <a:off x="3309313" y="46625850"/>
          <a:ext cx="0" cy="186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294481</xdr:colOff>
      <xdr:row>288</xdr:row>
      <xdr:rowOff>162719</xdr:rowOff>
    </xdr:from>
    <xdr:to>
      <xdr:col>5</xdr:col>
      <xdr:colOff>296069</xdr:colOff>
      <xdr:row>289</xdr:row>
      <xdr:rowOff>181769</xdr:rowOff>
    </xdr:to>
    <xdr:cxnSp macro="">
      <xdr:nvCxnSpPr>
        <xdr:cNvPr id="23" name="Straight Arrow Connector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CxnSpPr/>
      </xdr:nvCxnSpPr>
      <xdr:spPr>
        <a:xfrm rot="5400000">
          <a:off x="3312795" y="46625986"/>
          <a:ext cx="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662609</xdr:colOff>
      <xdr:row>222</xdr:row>
      <xdr:rowOff>33130</xdr:rowOff>
    </xdr:from>
    <xdr:to>
      <xdr:col>3</xdr:col>
      <xdr:colOff>708328</xdr:colOff>
      <xdr:row>226</xdr:row>
      <xdr:rowOff>71230</xdr:rowOff>
    </xdr:to>
    <xdr:sp macro="" textlink="">
      <xdr:nvSpPr>
        <xdr:cNvPr id="24" name="Up Arrow 30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/>
      </xdr:nvSpPr>
      <xdr:spPr>
        <a:xfrm>
          <a:off x="2582849" y="39733330"/>
          <a:ext cx="45719" cy="77724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9525</xdr:colOff>
      <xdr:row>219</xdr:row>
      <xdr:rowOff>171450</xdr:rowOff>
    </xdr:from>
    <xdr:to>
      <xdr:col>10</xdr:col>
      <xdr:colOff>9525</xdr:colOff>
      <xdr:row>220</xdr:row>
      <xdr:rowOff>0</xdr:rowOff>
    </xdr:to>
    <xdr:cxnSp macro="">
      <xdr:nvCxnSpPr>
        <xdr:cNvPr id="25" name="Straight Arrow Connector 24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CxnSpPr/>
      </xdr:nvCxnSpPr>
      <xdr:spPr>
        <a:xfrm>
          <a:off x="1929765" y="39094410"/>
          <a:ext cx="4122420" cy="11430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28575</xdr:colOff>
      <xdr:row>221</xdr:row>
      <xdr:rowOff>9526</xdr:rowOff>
    </xdr:from>
    <xdr:to>
      <xdr:col>4</xdr:col>
      <xdr:colOff>66261</xdr:colOff>
      <xdr:row>221</xdr:row>
      <xdr:rowOff>24848</xdr:rowOff>
    </xdr:to>
    <xdr:cxnSp macro="">
      <xdr:nvCxnSpPr>
        <xdr:cNvPr id="26" name="Straight Arrow Connector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CxnSpPr/>
      </xdr:nvCxnSpPr>
      <xdr:spPr>
        <a:xfrm>
          <a:off x="1948815" y="39404926"/>
          <a:ext cx="769206" cy="15322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496956</xdr:colOff>
      <xdr:row>220</xdr:row>
      <xdr:rowOff>289892</xdr:rowOff>
    </xdr:from>
    <xdr:to>
      <xdr:col>10</xdr:col>
      <xdr:colOff>19050</xdr:colOff>
      <xdr:row>221</xdr:row>
      <xdr:rowOff>1</xdr:rowOff>
    </xdr:to>
    <xdr:cxnSp macro="">
      <xdr:nvCxnSpPr>
        <xdr:cNvPr id="27" name="Straight Arrow Connector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CxnSpPr/>
      </xdr:nvCxnSpPr>
      <xdr:spPr>
        <a:xfrm>
          <a:off x="5328036" y="39395732"/>
          <a:ext cx="733674" cy="0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298173</xdr:colOff>
      <xdr:row>221</xdr:row>
      <xdr:rowOff>201969</xdr:rowOff>
    </xdr:from>
    <xdr:to>
      <xdr:col>10</xdr:col>
      <xdr:colOff>158962</xdr:colOff>
      <xdr:row>221</xdr:row>
      <xdr:rowOff>203557</xdr:rowOff>
    </xdr:to>
    <xdr:cxnSp macro="">
      <xdr:nvCxnSpPr>
        <xdr:cNvPr id="28" name="Straight Arrow Connector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CxnSpPr/>
      </xdr:nvCxnSpPr>
      <xdr:spPr>
        <a:xfrm>
          <a:off x="5784573" y="39597369"/>
          <a:ext cx="417049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516835</xdr:colOff>
      <xdr:row>222</xdr:row>
      <xdr:rowOff>28160</xdr:rowOff>
    </xdr:from>
    <xdr:to>
      <xdr:col>8</xdr:col>
      <xdr:colOff>562554</xdr:colOff>
      <xdr:row>226</xdr:row>
      <xdr:rowOff>66260</xdr:rowOff>
    </xdr:to>
    <xdr:sp macro="" textlink="">
      <xdr:nvSpPr>
        <xdr:cNvPr id="29" name="Up Arrow 40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/>
      </xdr:nvSpPr>
      <xdr:spPr>
        <a:xfrm>
          <a:off x="5347915" y="39728360"/>
          <a:ext cx="45719" cy="77724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9</xdr:col>
      <xdr:colOff>571500</xdr:colOff>
      <xdr:row>80</xdr:row>
      <xdr:rowOff>827</xdr:rowOff>
    </xdr:from>
    <xdr:to>
      <xdr:col>9</xdr:col>
      <xdr:colOff>617219</xdr:colOff>
      <xdr:row>84</xdr:row>
      <xdr:rowOff>38927</xdr:rowOff>
    </xdr:to>
    <xdr:sp macro="" textlink="">
      <xdr:nvSpPr>
        <xdr:cNvPr id="30" name="Up Arrow 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/>
      </xdr:nvSpPr>
      <xdr:spPr>
        <a:xfrm>
          <a:off x="6067425" y="18212627"/>
          <a:ext cx="45719" cy="1066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235227</xdr:colOff>
      <xdr:row>165</xdr:row>
      <xdr:rowOff>0</xdr:rowOff>
    </xdr:from>
    <xdr:to>
      <xdr:col>3</xdr:col>
      <xdr:colOff>347869</xdr:colOff>
      <xdr:row>165</xdr:row>
      <xdr:rowOff>3313</xdr:rowOff>
    </xdr:to>
    <xdr:cxnSp macro="">
      <xdr:nvCxnSpPr>
        <xdr:cNvPr id="31" name="Straight Arrow Connector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CxnSpPr/>
      </xdr:nvCxnSpPr>
      <xdr:spPr>
        <a:xfrm flipV="1">
          <a:off x="1904007" y="30937200"/>
          <a:ext cx="364102" cy="3313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197127</xdr:colOff>
      <xdr:row>164</xdr:row>
      <xdr:rowOff>185531</xdr:rowOff>
    </xdr:from>
    <xdr:to>
      <xdr:col>10</xdr:col>
      <xdr:colOff>11596</xdr:colOff>
      <xdr:row>164</xdr:row>
      <xdr:rowOff>188844</xdr:rowOff>
    </xdr:to>
    <xdr:cxnSp macro="">
      <xdr:nvCxnSpPr>
        <xdr:cNvPr id="32" name="Straight Arrow Connector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CxnSpPr/>
      </xdr:nvCxnSpPr>
      <xdr:spPr>
        <a:xfrm flipV="1">
          <a:off x="5683527" y="30932231"/>
          <a:ext cx="370729" cy="3313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57432</xdr:colOff>
      <xdr:row>164</xdr:row>
      <xdr:rowOff>27298</xdr:rowOff>
    </xdr:from>
    <xdr:to>
      <xdr:col>6</xdr:col>
      <xdr:colOff>146873</xdr:colOff>
      <xdr:row>168</xdr:row>
      <xdr:rowOff>93740</xdr:rowOff>
    </xdr:to>
    <xdr:sp macro="" textlink="">
      <xdr:nvSpPr>
        <xdr:cNvPr id="36" name="Up Arrow 9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/>
      </xdr:nvSpPr>
      <xdr:spPr>
        <a:xfrm>
          <a:off x="3740432" y="34380798"/>
          <a:ext cx="89441" cy="790342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235232</xdr:colOff>
      <xdr:row>164</xdr:row>
      <xdr:rowOff>34918</xdr:rowOff>
    </xdr:from>
    <xdr:to>
      <xdr:col>6</xdr:col>
      <xdr:colOff>324673</xdr:colOff>
      <xdr:row>168</xdr:row>
      <xdr:rowOff>101360</xdr:rowOff>
    </xdr:to>
    <xdr:sp macro="" textlink="">
      <xdr:nvSpPr>
        <xdr:cNvPr id="37" name="Up Arrow 9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/>
      </xdr:nvSpPr>
      <xdr:spPr>
        <a:xfrm>
          <a:off x="3918232" y="34388418"/>
          <a:ext cx="89441" cy="790342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410492</xdr:colOff>
      <xdr:row>164</xdr:row>
      <xdr:rowOff>22218</xdr:rowOff>
    </xdr:from>
    <xdr:to>
      <xdr:col>6</xdr:col>
      <xdr:colOff>499933</xdr:colOff>
      <xdr:row>168</xdr:row>
      <xdr:rowOff>88660</xdr:rowOff>
    </xdr:to>
    <xdr:sp macro="" textlink="">
      <xdr:nvSpPr>
        <xdr:cNvPr id="11" name="Up Arrow 9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4093492" y="34375718"/>
          <a:ext cx="89441" cy="790342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11906</xdr:colOff>
      <xdr:row>79</xdr:row>
      <xdr:rowOff>226220</xdr:rowOff>
    </xdr:from>
    <xdr:to>
      <xdr:col>3</xdr:col>
      <xdr:colOff>369094</xdr:colOff>
      <xdr:row>80</xdr:row>
      <xdr:rowOff>107156</xdr:rowOff>
    </xdr:to>
    <xdr:sp macro="" textlink="">
      <xdr:nvSpPr>
        <xdr:cNvPr id="12" name="Block Arc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2297906" y="17573626"/>
          <a:ext cx="357188" cy="226218"/>
        </a:xfrm>
        <a:prstGeom prst="blockArc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381000</xdr:colOff>
      <xdr:row>79</xdr:row>
      <xdr:rowOff>214312</xdr:rowOff>
    </xdr:from>
    <xdr:to>
      <xdr:col>3</xdr:col>
      <xdr:colOff>738188</xdr:colOff>
      <xdr:row>80</xdr:row>
      <xdr:rowOff>95248</xdr:rowOff>
    </xdr:to>
    <xdr:sp macro="" textlink="">
      <xdr:nvSpPr>
        <xdr:cNvPr id="38" name="Block Arc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/>
      </xdr:nvSpPr>
      <xdr:spPr>
        <a:xfrm>
          <a:off x="2667000" y="17561718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4</xdr:col>
      <xdr:colOff>202406</xdr:colOff>
      <xdr:row>79</xdr:row>
      <xdr:rowOff>226219</xdr:rowOff>
    </xdr:from>
    <xdr:to>
      <xdr:col>5</xdr:col>
      <xdr:colOff>119063</xdr:colOff>
      <xdr:row>80</xdr:row>
      <xdr:rowOff>107155</xdr:rowOff>
    </xdr:to>
    <xdr:sp macro="" textlink="">
      <xdr:nvSpPr>
        <xdr:cNvPr id="39" name="Block Arc 38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/>
      </xdr:nvSpPr>
      <xdr:spPr>
        <a:xfrm>
          <a:off x="3381375" y="17573625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5</xdr:col>
      <xdr:colOff>154782</xdr:colOff>
      <xdr:row>79</xdr:row>
      <xdr:rowOff>226219</xdr:rowOff>
    </xdr:from>
    <xdr:to>
      <xdr:col>5</xdr:col>
      <xdr:colOff>511970</xdr:colOff>
      <xdr:row>80</xdr:row>
      <xdr:rowOff>107155</xdr:rowOff>
    </xdr:to>
    <xdr:sp macro="" textlink="">
      <xdr:nvSpPr>
        <xdr:cNvPr id="40" name="Block Arc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/>
      </xdr:nvSpPr>
      <xdr:spPr>
        <a:xfrm>
          <a:off x="3774282" y="17573625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6</xdr:col>
      <xdr:colOff>59531</xdr:colOff>
      <xdr:row>79</xdr:row>
      <xdr:rowOff>226219</xdr:rowOff>
    </xdr:from>
    <xdr:to>
      <xdr:col>6</xdr:col>
      <xdr:colOff>416719</xdr:colOff>
      <xdr:row>80</xdr:row>
      <xdr:rowOff>107155</xdr:rowOff>
    </xdr:to>
    <xdr:sp macro="" textlink="">
      <xdr:nvSpPr>
        <xdr:cNvPr id="41" name="Block Arc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/>
      </xdr:nvSpPr>
      <xdr:spPr>
        <a:xfrm>
          <a:off x="4476750" y="17573625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5</xdr:col>
      <xdr:colOff>488156</xdr:colOff>
      <xdr:row>79</xdr:row>
      <xdr:rowOff>214313</xdr:rowOff>
    </xdr:from>
    <xdr:to>
      <xdr:col>6</xdr:col>
      <xdr:colOff>47625</xdr:colOff>
      <xdr:row>80</xdr:row>
      <xdr:rowOff>95249</xdr:rowOff>
    </xdr:to>
    <xdr:sp macro="" textlink="">
      <xdr:nvSpPr>
        <xdr:cNvPr id="42" name="Block Arc 4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/>
      </xdr:nvSpPr>
      <xdr:spPr>
        <a:xfrm>
          <a:off x="4107656" y="17561719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6</xdr:col>
      <xdr:colOff>428624</xdr:colOff>
      <xdr:row>79</xdr:row>
      <xdr:rowOff>226218</xdr:rowOff>
    </xdr:from>
    <xdr:to>
      <xdr:col>7</xdr:col>
      <xdr:colOff>154781</xdr:colOff>
      <xdr:row>80</xdr:row>
      <xdr:rowOff>107154</xdr:rowOff>
    </xdr:to>
    <xdr:sp macro="" textlink="">
      <xdr:nvSpPr>
        <xdr:cNvPr id="44" name="Block Arc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/>
      </xdr:nvSpPr>
      <xdr:spPr>
        <a:xfrm>
          <a:off x="4845843" y="17573624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7</xdr:col>
      <xdr:colOff>523875</xdr:colOff>
      <xdr:row>79</xdr:row>
      <xdr:rowOff>202407</xdr:rowOff>
    </xdr:from>
    <xdr:to>
      <xdr:col>8</xdr:col>
      <xdr:colOff>202407</xdr:colOff>
      <xdr:row>80</xdr:row>
      <xdr:rowOff>83343</xdr:rowOff>
    </xdr:to>
    <xdr:sp macro="" textlink="">
      <xdr:nvSpPr>
        <xdr:cNvPr id="46" name="Block Arc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/>
      </xdr:nvSpPr>
      <xdr:spPr>
        <a:xfrm>
          <a:off x="5572125" y="17549813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7</xdr:col>
      <xdr:colOff>154781</xdr:colOff>
      <xdr:row>79</xdr:row>
      <xdr:rowOff>214312</xdr:rowOff>
    </xdr:from>
    <xdr:to>
      <xdr:col>7</xdr:col>
      <xdr:colOff>511969</xdr:colOff>
      <xdr:row>80</xdr:row>
      <xdr:rowOff>95248</xdr:rowOff>
    </xdr:to>
    <xdr:sp macro="" textlink="">
      <xdr:nvSpPr>
        <xdr:cNvPr id="47" name="Block Arc 46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/>
      </xdr:nvSpPr>
      <xdr:spPr>
        <a:xfrm>
          <a:off x="5203031" y="17561718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3</xdr:col>
      <xdr:colOff>714375</xdr:colOff>
      <xdr:row>79</xdr:row>
      <xdr:rowOff>226219</xdr:rowOff>
    </xdr:from>
    <xdr:to>
      <xdr:col>4</xdr:col>
      <xdr:colOff>178594</xdr:colOff>
      <xdr:row>80</xdr:row>
      <xdr:rowOff>107155</xdr:rowOff>
    </xdr:to>
    <xdr:sp macro="" textlink="">
      <xdr:nvSpPr>
        <xdr:cNvPr id="48" name="Block Arc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/>
      </xdr:nvSpPr>
      <xdr:spPr>
        <a:xfrm>
          <a:off x="3000375" y="17573625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8</xdr:col>
      <xdr:colOff>583407</xdr:colOff>
      <xdr:row>79</xdr:row>
      <xdr:rowOff>214312</xdr:rowOff>
    </xdr:from>
    <xdr:to>
      <xdr:col>9</xdr:col>
      <xdr:colOff>130970</xdr:colOff>
      <xdr:row>80</xdr:row>
      <xdr:rowOff>95248</xdr:rowOff>
    </xdr:to>
    <xdr:sp macro="" textlink="">
      <xdr:nvSpPr>
        <xdr:cNvPr id="49" name="Block Arc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/>
      </xdr:nvSpPr>
      <xdr:spPr>
        <a:xfrm>
          <a:off x="6310313" y="17561718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9</xdr:col>
      <xdr:colOff>166688</xdr:colOff>
      <xdr:row>79</xdr:row>
      <xdr:rowOff>214313</xdr:rowOff>
    </xdr:from>
    <xdr:to>
      <xdr:col>9</xdr:col>
      <xdr:colOff>523876</xdr:colOff>
      <xdr:row>80</xdr:row>
      <xdr:rowOff>95249</xdr:rowOff>
    </xdr:to>
    <xdr:sp macro="" textlink="">
      <xdr:nvSpPr>
        <xdr:cNvPr id="50" name="Block Arc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/>
      </xdr:nvSpPr>
      <xdr:spPr>
        <a:xfrm>
          <a:off x="6703219" y="17561719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8</xdr:col>
      <xdr:colOff>214312</xdr:colOff>
      <xdr:row>79</xdr:row>
      <xdr:rowOff>202406</xdr:rowOff>
    </xdr:from>
    <xdr:to>
      <xdr:col>8</xdr:col>
      <xdr:colOff>571500</xdr:colOff>
      <xdr:row>80</xdr:row>
      <xdr:rowOff>83342</xdr:rowOff>
    </xdr:to>
    <xdr:sp macro="" textlink="">
      <xdr:nvSpPr>
        <xdr:cNvPr id="51" name="Block Arc 50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/>
      </xdr:nvSpPr>
      <xdr:spPr>
        <a:xfrm>
          <a:off x="5941218" y="17549812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3</xdr:col>
      <xdr:colOff>23812</xdr:colOff>
      <xdr:row>163</xdr:row>
      <xdr:rowOff>190500</xdr:rowOff>
    </xdr:from>
    <xdr:to>
      <xdr:col>3</xdr:col>
      <xdr:colOff>381000</xdr:colOff>
      <xdr:row>164</xdr:row>
      <xdr:rowOff>107155</xdr:rowOff>
    </xdr:to>
    <xdr:sp macro="" textlink="">
      <xdr:nvSpPr>
        <xdr:cNvPr id="53" name="Block Arc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/>
      </xdr:nvSpPr>
      <xdr:spPr>
        <a:xfrm>
          <a:off x="2309812" y="35587781"/>
          <a:ext cx="357188" cy="226218"/>
        </a:xfrm>
        <a:prstGeom prst="blockArc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392907</xdr:colOff>
      <xdr:row>163</xdr:row>
      <xdr:rowOff>178594</xdr:rowOff>
    </xdr:from>
    <xdr:to>
      <xdr:col>3</xdr:col>
      <xdr:colOff>750095</xdr:colOff>
      <xdr:row>164</xdr:row>
      <xdr:rowOff>95249</xdr:rowOff>
    </xdr:to>
    <xdr:sp macro="" textlink="">
      <xdr:nvSpPr>
        <xdr:cNvPr id="54" name="Block Arc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/>
      </xdr:nvSpPr>
      <xdr:spPr>
        <a:xfrm>
          <a:off x="2678907" y="35575875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3</xdr:col>
      <xdr:colOff>773906</xdr:colOff>
      <xdr:row>163</xdr:row>
      <xdr:rowOff>190500</xdr:rowOff>
    </xdr:from>
    <xdr:to>
      <xdr:col>4</xdr:col>
      <xdr:colOff>238125</xdr:colOff>
      <xdr:row>164</xdr:row>
      <xdr:rowOff>107155</xdr:rowOff>
    </xdr:to>
    <xdr:sp macro="" textlink="">
      <xdr:nvSpPr>
        <xdr:cNvPr id="55" name="Block Arc 54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/>
      </xdr:nvSpPr>
      <xdr:spPr>
        <a:xfrm>
          <a:off x="3059906" y="35587781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4</xdr:col>
      <xdr:colOff>250032</xdr:colOff>
      <xdr:row>163</xdr:row>
      <xdr:rowOff>178595</xdr:rowOff>
    </xdr:from>
    <xdr:to>
      <xdr:col>5</xdr:col>
      <xdr:colOff>166689</xdr:colOff>
      <xdr:row>164</xdr:row>
      <xdr:rowOff>95250</xdr:rowOff>
    </xdr:to>
    <xdr:sp macro="" textlink="">
      <xdr:nvSpPr>
        <xdr:cNvPr id="56" name="Block Arc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/>
      </xdr:nvSpPr>
      <xdr:spPr>
        <a:xfrm>
          <a:off x="3429001" y="35575876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5</xdr:col>
      <xdr:colOff>190500</xdr:colOff>
      <xdr:row>163</xdr:row>
      <xdr:rowOff>166688</xdr:rowOff>
    </xdr:from>
    <xdr:to>
      <xdr:col>5</xdr:col>
      <xdr:colOff>547688</xdr:colOff>
      <xdr:row>164</xdr:row>
      <xdr:rowOff>83343</xdr:rowOff>
    </xdr:to>
    <xdr:sp macro="" textlink="">
      <xdr:nvSpPr>
        <xdr:cNvPr id="58" name="Block Arc 57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/>
      </xdr:nvSpPr>
      <xdr:spPr>
        <a:xfrm>
          <a:off x="3810000" y="35563969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7</xdr:col>
      <xdr:colOff>595313</xdr:colOff>
      <xdr:row>163</xdr:row>
      <xdr:rowOff>178594</xdr:rowOff>
    </xdr:from>
    <xdr:to>
      <xdr:col>8</xdr:col>
      <xdr:colOff>273845</xdr:colOff>
      <xdr:row>164</xdr:row>
      <xdr:rowOff>95249</xdr:rowOff>
    </xdr:to>
    <xdr:sp macro="" textlink="">
      <xdr:nvSpPr>
        <xdr:cNvPr id="59" name="Block Arc 58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/>
      </xdr:nvSpPr>
      <xdr:spPr>
        <a:xfrm>
          <a:off x="5643563" y="35575875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6</xdr:col>
      <xdr:colOff>142875</xdr:colOff>
      <xdr:row>163</xdr:row>
      <xdr:rowOff>178594</xdr:rowOff>
    </xdr:from>
    <xdr:to>
      <xdr:col>6</xdr:col>
      <xdr:colOff>500063</xdr:colOff>
      <xdr:row>164</xdr:row>
      <xdr:rowOff>95249</xdr:rowOff>
    </xdr:to>
    <xdr:sp macro="" textlink="">
      <xdr:nvSpPr>
        <xdr:cNvPr id="60" name="Block Arc 59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/>
      </xdr:nvSpPr>
      <xdr:spPr>
        <a:xfrm>
          <a:off x="4560094" y="35575875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5</xdr:col>
      <xdr:colOff>595313</xdr:colOff>
      <xdr:row>163</xdr:row>
      <xdr:rowOff>166688</xdr:rowOff>
    </xdr:from>
    <xdr:to>
      <xdr:col>6</xdr:col>
      <xdr:colOff>154782</xdr:colOff>
      <xdr:row>164</xdr:row>
      <xdr:rowOff>83343</xdr:rowOff>
    </xdr:to>
    <xdr:sp macro="" textlink="">
      <xdr:nvSpPr>
        <xdr:cNvPr id="61" name="Block Arc 60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/>
      </xdr:nvSpPr>
      <xdr:spPr>
        <a:xfrm>
          <a:off x="4214813" y="35563969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6</xdr:col>
      <xdr:colOff>511969</xdr:colOff>
      <xdr:row>163</xdr:row>
      <xdr:rowOff>178594</xdr:rowOff>
    </xdr:from>
    <xdr:to>
      <xdr:col>7</xdr:col>
      <xdr:colOff>238126</xdr:colOff>
      <xdr:row>164</xdr:row>
      <xdr:rowOff>95249</xdr:rowOff>
    </xdr:to>
    <xdr:sp macro="" textlink="">
      <xdr:nvSpPr>
        <xdr:cNvPr id="63" name="Block Arc 62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/>
      </xdr:nvSpPr>
      <xdr:spPr>
        <a:xfrm>
          <a:off x="4929188" y="35575875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7</xdr:col>
      <xdr:colOff>238125</xdr:colOff>
      <xdr:row>163</xdr:row>
      <xdr:rowOff>178594</xdr:rowOff>
    </xdr:from>
    <xdr:to>
      <xdr:col>7</xdr:col>
      <xdr:colOff>595313</xdr:colOff>
      <xdr:row>164</xdr:row>
      <xdr:rowOff>95249</xdr:rowOff>
    </xdr:to>
    <xdr:sp macro="" textlink="">
      <xdr:nvSpPr>
        <xdr:cNvPr id="64" name="Block Arc 6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/>
      </xdr:nvSpPr>
      <xdr:spPr>
        <a:xfrm>
          <a:off x="5286375" y="35575875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8</xdr:col>
      <xdr:colOff>309563</xdr:colOff>
      <xdr:row>163</xdr:row>
      <xdr:rowOff>178594</xdr:rowOff>
    </xdr:from>
    <xdr:to>
      <xdr:col>8</xdr:col>
      <xdr:colOff>666751</xdr:colOff>
      <xdr:row>164</xdr:row>
      <xdr:rowOff>95249</xdr:rowOff>
    </xdr:to>
    <xdr:sp macro="" textlink="">
      <xdr:nvSpPr>
        <xdr:cNvPr id="65" name="Block Arc 64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/>
      </xdr:nvSpPr>
      <xdr:spPr>
        <a:xfrm>
          <a:off x="6036469" y="35575875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9</xdr:col>
      <xdr:colOff>261938</xdr:colOff>
      <xdr:row>163</xdr:row>
      <xdr:rowOff>202407</xdr:rowOff>
    </xdr:from>
    <xdr:to>
      <xdr:col>10</xdr:col>
      <xdr:colOff>23813</xdr:colOff>
      <xdr:row>164</xdr:row>
      <xdr:rowOff>119062</xdr:rowOff>
    </xdr:to>
    <xdr:sp macro="" textlink="">
      <xdr:nvSpPr>
        <xdr:cNvPr id="66" name="Block Arc 65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/>
      </xdr:nvSpPr>
      <xdr:spPr>
        <a:xfrm>
          <a:off x="6798469" y="35599688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8</xdr:col>
      <xdr:colOff>678657</xdr:colOff>
      <xdr:row>163</xdr:row>
      <xdr:rowOff>178594</xdr:rowOff>
    </xdr:from>
    <xdr:to>
      <xdr:col>9</xdr:col>
      <xdr:colOff>226220</xdr:colOff>
      <xdr:row>164</xdr:row>
      <xdr:rowOff>95249</xdr:rowOff>
    </xdr:to>
    <xdr:sp macro="" textlink="">
      <xdr:nvSpPr>
        <xdr:cNvPr id="67" name="Block Arc 66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/>
      </xdr:nvSpPr>
      <xdr:spPr>
        <a:xfrm>
          <a:off x="6405563" y="35575875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5</xdr:col>
      <xdr:colOff>202407</xdr:colOff>
      <xdr:row>221</xdr:row>
      <xdr:rowOff>154781</xdr:rowOff>
    </xdr:from>
    <xdr:to>
      <xdr:col>5</xdr:col>
      <xdr:colOff>559595</xdr:colOff>
      <xdr:row>222</xdr:row>
      <xdr:rowOff>71437</xdr:rowOff>
    </xdr:to>
    <xdr:sp macro="" textlink="">
      <xdr:nvSpPr>
        <xdr:cNvPr id="68" name="Block Arc 6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/>
      </xdr:nvSpPr>
      <xdr:spPr>
        <a:xfrm>
          <a:off x="3821907" y="45386625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3</xdr:col>
      <xdr:colOff>404813</xdr:colOff>
      <xdr:row>221</xdr:row>
      <xdr:rowOff>154782</xdr:rowOff>
    </xdr:from>
    <xdr:to>
      <xdr:col>3</xdr:col>
      <xdr:colOff>762001</xdr:colOff>
      <xdr:row>222</xdr:row>
      <xdr:rowOff>71438</xdr:rowOff>
    </xdr:to>
    <xdr:sp macro="" textlink="">
      <xdr:nvSpPr>
        <xdr:cNvPr id="69" name="Block Arc 6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/>
      </xdr:nvSpPr>
      <xdr:spPr>
        <a:xfrm>
          <a:off x="2690813" y="45386626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3</xdr:col>
      <xdr:colOff>23813</xdr:colOff>
      <xdr:row>221</xdr:row>
      <xdr:rowOff>154781</xdr:rowOff>
    </xdr:from>
    <xdr:to>
      <xdr:col>3</xdr:col>
      <xdr:colOff>381001</xdr:colOff>
      <xdr:row>222</xdr:row>
      <xdr:rowOff>71437</xdr:rowOff>
    </xdr:to>
    <xdr:sp macro="" textlink="">
      <xdr:nvSpPr>
        <xdr:cNvPr id="70" name="Block Arc 69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/>
      </xdr:nvSpPr>
      <xdr:spPr>
        <a:xfrm>
          <a:off x="2309813" y="45386625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7</xdr:col>
      <xdr:colOff>273843</xdr:colOff>
      <xdr:row>221</xdr:row>
      <xdr:rowOff>166687</xdr:rowOff>
    </xdr:from>
    <xdr:to>
      <xdr:col>7</xdr:col>
      <xdr:colOff>631031</xdr:colOff>
      <xdr:row>222</xdr:row>
      <xdr:rowOff>83343</xdr:rowOff>
    </xdr:to>
    <xdr:sp macro="" textlink="">
      <xdr:nvSpPr>
        <xdr:cNvPr id="71" name="Block Arc 70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/>
      </xdr:nvSpPr>
      <xdr:spPr>
        <a:xfrm>
          <a:off x="5322093" y="45398531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6</xdr:col>
      <xdr:colOff>535781</xdr:colOff>
      <xdr:row>221</xdr:row>
      <xdr:rowOff>166687</xdr:rowOff>
    </xdr:from>
    <xdr:to>
      <xdr:col>7</xdr:col>
      <xdr:colOff>261938</xdr:colOff>
      <xdr:row>222</xdr:row>
      <xdr:rowOff>83343</xdr:rowOff>
    </xdr:to>
    <xdr:sp macro="" textlink="">
      <xdr:nvSpPr>
        <xdr:cNvPr id="72" name="Block Arc 71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/>
      </xdr:nvSpPr>
      <xdr:spPr>
        <a:xfrm>
          <a:off x="4953000" y="45398531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3</xdr:col>
      <xdr:colOff>797719</xdr:colOff>
      <xdr:row>221</xdr:row>
      <xdr:rowOff>154781</xdr:rowOff>
    </xdr:from>
    <xdr:to>
      <xdr:col>4</xdr:col>
      <xdr:colOff>261938</xdr:colOff>
      <xdr:row>222</xdr:row>
      <xdr:rowOff>71437</xdr:rowOff>
    </xdr:to>
    <xdr:sp macro="" textlink="">
      <xdr:nvSpPr>
        <xdr:cNvPr id="73" name="Block Arc 72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/>
      </xdr:nvSpPr>
      <xdr:spPr>
        <a:xfrm>
          <a:off x="3083719" y="45386625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4</xdr:col>
      <xdr:colOff>261937</xdr:colOff>
      <xdr:row>221</xdr:row>
      <xdr:rowOff>154781</xdr:rowOff>
    </xdr:from>
    <xdr:to>
      <xdr:col>5</xdr:col>
      <xdr:colOff>178594</xdr:colOff>
      <xdr:row>222</xdr:row>
      <xdr:rowOff>71437</xdr:rowOff>
    </xdr:to>
    <xdr:sp macro="" textlink="">
      <xdr:nvSpPr>
        <xdr:cNvPr id="74" name="Block Arc 73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SpPr/>
      </xdr:nvSpPr>
      <xdr:spPr>
        <a:xfrm>
          <a:off x="3440906" y="45386625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5</xdr:col>
      <xdr:colOff>571500</xdr:colOff>
      <xdr:row>221</xdr:row>
      <xdr:rowOff>166687</xdr:rowOff>
    </xdr:from>
    <xdr:to>
      <xdr:col>6</xdr:col>
      <xdr:colOff>130969</xdr:colOff>
      <xdr:row>222</xdr:row>
      <xdr:rowOff>83343</xdr:rowOff>
    </xdr:to>
    <xdr:sp macro="" textlink="">
      <xdr:nvSpPr>
        <xdr:cNvPr id="75" name="Block Arc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/>
      </xdr:nvSpPr>
      <xdr:spPr>
        <a:xfrm>
          <a:off x="4191000" y="45398531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6</xdr:col>
      <xdr:colOff>142875</xdr:colOff>
      <xdr:row>221</xdr:row>
      <xdr:rowOff>178593</xdr:rowOff>
    </xdr:from>
    <xdr:to>
      <xdr:col>6</xdr:col>
      <xdr:colOff>500063</xdr:colOff>
      <xdr:row>222</xdr:row>
      <xdr:rowOff>95249</xdr:rowOff>
    </xdr:to>
    <xdr:sp macro="" textlink="">
      <xdr:nvSpPr>
        <xdr:cNvPr id="76" name="Block Arc 7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SpPr/>
      </xdr:nvSpPr>
      <xdr:spPr>
        <a:xfrm>
          <a:off x="4560094" y="45410437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7</xdr:col>
      <xdr:colOff>654844</xdr:colOff>
      <xdr:row>221</xdr:row>
      <xdr:rowOff>166687</xdr:rowOff>
    </xdr:from>
    <xdr:to>
      <xdr:col>8</xdr:col>
      <xdr:colOff>333376</xdr:colOff>
      <xdr:row>222</xdr:row>
      <xdr:rowOff>83343</xdr:rowOff>
    </xdr:to>
    <xdr:sp macro="" textlink="">
      <xdr:nvSpPr>
        <xdr:cNvPr id="77" name="Block Arc 7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SpPr/>
      </xdr:nvSpPr>
      <xdr:spPr>
        <a:xfrm>
          <a:off x="5703094" y="45398531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8</xdr:col>
      <xdr:colOff>726282</xdr:colOff>
      <xdr:row>221</xdr:row>
      <xdr:rowOff>190500</xdr:rowOff>
    </xdr:from>
    <xdr:to>
      <xdr:col>9</xdr:col>
      <xdr:colOff>273845</xdr:colOff>
      <xdr:row>222</xdr:row>
      <xdr:rowOff>107156</xdr:rowOff>
    </xdr:to>
    <xdr:sp macro="" textlink="">
      <xdr:nvSpPr>
        <xdr:cNvPr id="78" name="Block Arc 77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SpPr/>
      </xdr:nvSpPr>
      <xdr:spPr>
        <a:xfrm>
          <a:off x="6453188" y="45422344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8</xdr:col>
      <xdr:colOff>357188</xdr:colOff>
      <xdr:row>221</xdr:row>
      <xdr:rowOff>178594</xdr:rowOff>
    </xdr:from>
    <xdr:to>
      <xdr:col>8</xdr:col>
      <xdr:colOff>714376</xdr:colOff>
      <xdr:row>222</xdr:row>
      <xdr:rowOff>95250</xdr:rowOff>
    </xdr:to>
    <xdr:sp macro="" textlink="">
      <xdr:nvSpPr>
        <xdr:cNvPr id="79" name="Block Arc 7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SpPr/>
      </xdr:nvSpPr>
      <xdr:spPr>
        <a:xfrm>
          <a:off x="6084094" y="45410438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9</xdr:col>
      <xdr:colOff>273844</xdr:colOff>
      <xdr:row>221</xdr:row>
      <xdr:rowOff>178594</xdr:rowOff>
    </xdr:from>
    <xdr:to>
      <xdr:col>10</xdr:col>
      <xdr:colOff>35719</xdr:colOff>
      <xdr:row>222</xdr:row>
      <xdr:rowOff>95250</xdr:rowOff>
    </xdr:to>
    <xdr:sp macro="" textlink="">
      <xdr:nvSpPr>
        <xdr:cNvPr id="80" name="Block Arc 79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SpPr/>
      </xdr:nvSpPr>
      <xdr:spPr>
        <a:xfrm>
          <a:off x="6810375" y="45410438"/>
          <a:ext cx="357188" cy="226218"/>
        </a:xfrm>
        <a:prstGeom prst="blockArc">
          <a:avLst/>
        </a:prstGeom>
        <a:solidFill>
          <a:srgbClr val="4F81BD"/>
        </a:solidFill>
        <a:ln w="25400" cap="flat" cmpd="sng" algn="ctr">
          <a:solidFill>
            <a:srgbClr val="4F81BD">
              <a:shade val="50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128592</xdr:colOff>
      <xdr:row>12</xdr:row>
      <xdr:rowOff>19050</xdr:rowOff>
    </xdr:from>
    <xdr:to>
      <xdr:col>10</xdr:col>
      <xdr:colOff>128954</xdr:colOff>
      <xdr:row>13</xdr:row>
      <xdr:rowOff>0</xdr:rowOff>
    </xdr:to>
    <xdr:cxnSp macro="">
      <xdr:nvCxnSpPr>
        <xdr:cNvPr id="2" name="Straight Arrow Connector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CxnSpPr/>
      </xdr:nvCxnSpPr>
      <xdr:spPr>
        <a:xfrm>
          <a:off x="3290892" y="2945130"/>
          <a:ext cx="362" cy="1392994"/>
        </a:xfrm>
        <a:prstGeom prst="straightConnector1">
          <a:avLst/>
        </a:prstGeom>
        <a:ln w="3175"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15</xdr:row>
      <xdr:rowOff>185057</xdr:rowOff>
    </xdr:from>
    <xdr:to>
      <xdr:col>10</xdr:col>
      <xdr:colOff>5443</xdr:colOff>
      <xdr:row>15</xdr:row>
      <xdr:rowOff>185057</xdr:rowOff>
    </xdr:to>
    <xdr:cxnSp macro="">
      <xdr:nvCxnSpPr>
        <xdr:cNvPr id="3" name="Straight Arrow Connector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CxnSpPr/>
      </xdr:nvCxnSpPr>
      <xdr:spPr>
        <a:xfrm>
          <a:off x="1592580" y="5244737"/>
          <a:ext cx="1575163" cy="0"/>
        </a:xfrm>
        <a:prstGeom prst="straightConnector1">
          <a:avLst/>
        </a:prstGeom>
        <a:ln>
          <a:solidFill>
            <a:schemeClr val="tx1"/>
          </a:solidFill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137225</xdr:colOff>
      <xdr:row>11</xdr:row>
      <xdr:rowOff>16144</xdr:rowOff>
    </xdr:from>
    <xdr:to>
      <xdr:col>10</xdr:col>
      <xdr:colOff>137587</xdr:colOff>
      <xdr:row>11</xdr:row>
      <xdr:rowOff>416840</xdr:rowOff>
    </xdr:to>
    <xdr:cxnSp macro="">
      <xdr:nvCxnSpPr>
        <xdr:cNvPr id="8" name="Straight Arrow Connector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CxnSpPr/>
      </xdr:nvCxnSpPr>
      <xdr:spPr>
        <a:xfrm>
          <a:off x="3567839" y="2276313"/>
          <a:ext cx="362" cy="400696"/>
        </a:xfrm>
        <a:prstGeom prst="straightConnector1">
          <a:avLst/>
        </a:prstGeom>
        <a:ln w="3175"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121081</xdr:colOff>
      <xdr:row>14</xdr:row>
      <xdr:rowOff>16144</xdr:rowOff>
    </xdr:from>
    <xdr:to>
      <xdr:col>10</xdr:col>
      <xdr:colOff>121443</xdr:colOff>
      <xdr:row>14</xdr:row>
      <xdr:rowOff>416840</xdr:rowOff>
    </xdr:to>
    <xdr:cxnSp macro="">
      <xdr:nvCxnSpPr>
        <xdr:cNvPr id="9" name="Straight Arrow Connector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CxnSpPr/>
      </xdr:nvCxnSpPr>
      <xdr:spPr>
        <a:xfrm>
          <a:off x="3551695" y="3123877"/>
          <a:ext cx="362" cy="400696"/>
        </a:xfrm>
        <a:prstGeom prst="straightConnector1">
          <a:avLst/>
        </a:prstGeom>
        <a:ln w="3175"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128184</xdr:colOff>
      <xdr:row>9</xdr:row>
      <xdr:rowOff>128184</xdr:rowOff>
    </xdr:from>
    <xdr:to>
      <xdr:col>10</xdr:col>
      <xdr:colOff>128546</xdr:colOff>
      <xdr:row>11</xdr:row>
      <xdr:rowOff>52630</xdr:rowOff>
    </xdr:to>
    <xdr:cxnSp macro="">
      <xdr:nvCxnSpPr>
        <xdr:cNvPr id="10" name="Straight Arrow Connector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CxnSpPr/>
      </xdr:nvCxnSpPr>
      <xdr:spPr>
        <a:xfrm>
          <a:off x="3558798" y="1912103"/>
          <a:ext cx="362" cy="400696"/>
        </a:xfrm>
        <a:prstGeom prst="straightConnector1">
          <a:avLst/>
        </a:prstGeom>
        <a:ln w="3175"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10</xdr:row>
      <xdr:rowOff>1</xdr:rowOff>
    </xdr:from>
    <xdr:to>
      <xdr:col>20</xdr:col>
      <xdr:colOff>351747</xdr:colOff>
      <xdr:row>14</xdr:row>
      <xdr:rowOff>411674</xdr:rowOff>
    </xdr:to>
    <xdr:sp macro="" textlink="">
      <xdr:nvSpPr>
        <xdr:cNvPr id="12" name="Right Triangle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6271970" y="1945361"/>
          <a:ext cx="1078230" cy="1477182"/>
        </a:xfrm>
        <a:prstGeom prst="rtTriangle">
          <a:avLst/>
        </a:prstGeom>
        <a:noFill/>
        <a:ln w="25400" cap="flat" cmpd="sng" algn="ctr">
          <a:solidFill>
            <a:sysClr val="windowText" lastClr="00000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IN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18</xdr:col>
      <xdr:colOff>0</xdr:colOff>
      <xdr:row>11</xdr:row>
      <xdr:rowOff>8072</xdr:rowOff>
    </xdr:from>
    <xdr:to>
      <xdr:col>18</xdr:col>
      <xdr:colOff>153369</xdr:colOff>
      <xdr:row>11</xdr:row>
      <xdr:rowOff>8072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CxnSpPr/>
      </xdr:nvCxnSpPr>
      <xdr:spPr>
        <a:xfrm>
          <a:off x="6271970" y="2171377"/>
          <a:ext cx="153369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11</xdr:row>
      <xdr:rowOff>419746</xdr:rowOff>
    </xdr:from>
    <xdr:to>
      <xdr:col>19</xdr:col>
      <xdr:colOff>16144</xdr:colOff>
      <xdr:row>12</xdr:row>
      <xdr:rowOff>0</xdr:rowOff>
    </xdr:to>
    <xdr:cxnSp macro="">
      <xdr:nvCxnSpPr>
        <xdr:cNvPr id="13" name="Straight Connector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CxnSpPr/>
      </xdr:nvCxnSpPr>
      <xdr:spPr>
        <a:xfrm flipV="1">
          <a:off x="6271970" y="2583051"/>
          <a:ext cx="379386" cy="8072"/>
        </a:xfrm>
        <a:prstGeom prst="line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</xdr:cxnSp>
    <xdr:clientData/>
  </xdr:twoCellAnchor>
  <xdr:twoCellAnchor>
    <xdr:from>
      <xdr:col>17</xdr:col>
      <xdr:colOff>363240</xdr:colOff>
      <xdr:row>14</xdr:row>
      <xdr:rowOff>0</xdr:rowOff>
    </xdr:from>
    <xdr:to>
      <xdr:col>20</xdr:col>
      <xdr:colOff>129153</xdr:colOff>
      <xdr:row>14</xdr:row>
      <xdr:rowOff>0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CxnSpPr/>
      </xdr:nvCxnSpPr>
      <xdr:spPr>
        <a:xfrm>
          <a:off x="6255825" y="3430614"/>
          <a:ext cx="871781" cy="0"/>
        </a:xfrm>
        <a:prstGeom prst="line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</xdr:cxnSp>
    <xdr:clientData/>
  </xdr:twoCellAnchor>
  <xdr:twoCellAnchor>
    <xdr:from>
      <xdr:col>10</xdr:col>
      <xdr:colOff>113009</xdr:colOff>
      <xdr:row>13</xdr:row>
      <xdr:rowOff>8072</xdr:rowOff>
    </xdr:from>
    <xdr:to>
      <xdr:col>10</xdr:col>
      <xdr:colOff>113371</xdr:colOff>
      <xdr:row>13</xdr:row>
      <xdr:rowOff>408768</xdr:rowOff>
    </xdr:to>
    <xdr:cxnSp macro="">
      <xdr:nvCxnSpPr>
        <xdr:cNvPr id="11" name="Straight Arrow Connector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CxnSpPr/>
      </xdr:nvCxnSpPr>
      <xdr:spPr>
        <a:xfrm>
          <a:off x="3543623" y="3018941"/>
          <a:ext cx="362" cy="400696"/>
        </a:xfrm>
        <a:prstGeom prst="straightConnector1">
          <a:avLst/>
        </a:prstGeom>
        <a:noFill/>
        <a:ln w="317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  <a:headEnd type="triangle"/>
          <a:tailEnd type="triangle"/>
        </a:ln>
        <a:effectLst/>
      </xdr:spPr>
    </xdr:cxnSp>
    <xdr:clientData/>
  </xdr:twoCellAnchor>
  <xdr:twoCellAnchor>
    <xdr:from>
      <xdr:col>17</xdr:col>
      <xdr:colOff>371313</xdr:colOff>
      <xdr:row>13</xdr:row>
      <xdr:rowOff>0</xdr:rowOff>
    </xdr:from>
    <xdr:to>
      <xdr:col>19</xdr:col>
      <xdr:colOff>258305</xdr:colOff>
      <xdr:row>13</xdr:row>
      <xdr:rowOff>0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CxnSpPr/>
      </xdr:nvCxnSpPr>
      <xdr:spPr>
        <a:xfrm>
          <a:off x="6263898" y="3010869"/>
          <a:ext cx="629619" cy="0"/>
        </a:xfrm>
        <a:prstGeom prst="line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128592</xdr:colOff>
      <xdr:row>10</xdr:row>
      <xdr:rowOff>19050</xdr:rowOff>
    </xdr:from>
    <xdr:to>
      <xdr:col>8</xdr:col>
      <xdr:colOff>128954</xdr:colOff>
      <xdr:row>11</xdr:row>
      <xdr:rowOff>17584</xdr:rowOff>
    </xdr:to>
    <xdr:cxnSp macro="">
      <xdr:nvCxnSpPr>
        <xdr:cNvPr id="2" name="Straight Arrow Connector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CxnSpPr/>
      </xdr:nvCxnSpPr>
      <xdr:spPr>
        <a:xfrm>
          <a:off x="3299684" y="2797419"/>
          <a:ext cx="362" cy="274027"/>
        </a:xfrm>
        <a:prstGeom prst="straightConnector1">
          <a:avLst/>
        </a:prstGeom>
        <a:ln w="3175"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13</xdr:row>
      <xdr:rowOff>185057</xdr:rowOff>
    </xdr:from>
    <xdr:to>
      <xdr:col>8</xdr:col>
      <xdr:colOff>5443</xdr:colOff>
      <xdr:row>13</xdr:row>
      <xdr:rowOff>185057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CxnSpPr/>
      </xdr:nvCxnSpPr>
      <xdr:spPr>
        <a:xfrm>
          <a:off x="1592580" y="4543697"/>
          <a:ext cx="1575163" cy="0"/>
        </a:xfrm>
        <a:prstGeom prst="straightConnector1">
          <a:avLst/>
        </a:prstGeom>
        <a:ln>
          <a:solidFill>
            <a:schemeClr val="tx1"/>
          </a:solidFill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134716</xdr:colOff>
      <xdr:row>12</xdr:row>
      <xdr:rowOff>6803</xdr:rowOff>
    </xdr:from>
    <xdr:to>
      <xdr:col>8</xdr:col>
      <xdr:colOff>136071</xdr:colOff>
      <xdr:row>13</xdr:row>
      <xdr:rowOff>0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CxnSpPr/>
      </xdr:nvCxnSpPr>
      <xdr:spPr>
        <a:xfrm>
          <a:off x="3297016" y="3070043"/>
          <a:ext cx="1355" cy="297997"/>
        </a:xfrm>
        <a:prstGeom prst="straightConnector1">
          <a:avLst/>
        </a:prstGeom>
        <a:ln w="3175"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123830</xdr:colOff>
      <xdr:row>13</xdr:row>
      <xdr:rowOff>0</xdr:rowOff>
    </xdr:from>
    <xdr:to>
      <xdr:col>8</xdr:col>
      <xdr:colOff>125185</xdr:colOff>
      <xdr:row>13</xdr:row>
      <xdr:rowOff>0</xdr:rowOff>
    </xdr:to>
    <xdr:cxnSp macro="">
      <xdr:nvCxnSpPr>
        <xdr:cNvPr id="8" name="Straight Arrow Connector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CxnSpPr/>
      </xdr:nvCxnSpPr>
      <xdr:spPr>
        <a:xfrm>
          <a:off x="3286130" y="3749311"/>
          <a:ext cx="1355" cy="297997"/>
        </a:xfrm>
        <a:prstGeom prst="straightConnector1">
          <a:avLst/>
        </a:prstGeom>
        <a:ln w="3175"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16</xdr:row>
      <xdr:rowOff>12700</xdr:rowOff>
    </xdr:from>
    <xdr:to>
      <xdr:col>26</xdr:col>
      <xdr:colOff>0</xdr:colOff>
      <xdr:row>19</xdr:row>
      <xdr:rowOff>0</xdr:rowOff>
    </xdr:to>
    <xdr:sp macro="" textlink="">
      <xdr:nvSpPr>
        <xdr:cNvPr id="12" name="Right Triangle 11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SpPr/>
      </xdr:nvSpPr>
      <xdr:spPr>
        <a:xfrm>
          <a:off x="8159750" y="5346700"/>
          <a:ext cx="1219200" cy="1473200"/>
        </a:xfrm>
        <a:prstGeom prst="rtTriangl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24</xdr:col>
      <xdr:colOff>6350</xdr:colOff>
      <xdr:row>17</xdr:row>
      <xdr:rowOff>4482</xdr:rowOff>
    </xdr:from>
    <xdr:to>
      <xdr:col>24</xdr:col>
      <xdr:colOff>295836</xdr:colOff>
      <xdr:row>17</xdr:row>
      <xdr:rowOff>12700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CxnSpPr/>
      </xdr:nvCxnSpPr>
      <xdr:spPr>
        <a:xfrm flipV="1">
          <a:off x="8289738" y="5656729"/>
          <a:ext cx="289486" cy="821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321580</xdr:colOff>
      <xdr:row>17</xdr:row>
      <xdr:rowOff>7815</xdr:rowOff>
    </xdr:from>
    <xdr:to>
      <xdr:col>24</xdr:col>
      <xdr:colOff>337211</xdr:colOff>
      <xdr:row>18</xdr:row>
      <xdr:rowOff>11723</xdr:rowOff>
    </xdr:to>
    <xdr:cxnSp macro="">
      <xdr:nvCxnSpPr>
        <xdr:cNvPr id="21" name="Straight Connector 20">
          <a:extLst>
            <a:ext uri="{FF2B5EF4-FFF2-40B4-BE49-F238E27FC236}">
              <a16:creationId xmlns:a16="http://schemas.microsoft.com/office/drawing/2014/main" id="{00000000-0008-0000-0500-000015000000}"/>
            </a:ext>
          </a:extLst>
        </xdr:cNvPr>
        <xdr:cNvCxnSpPr/>
      </xdr:nvCxnSpPr>
      <xdr:spPr>
        <a:xfrm>
          <a:off x="8604968" y="5660062"/>
          <a:ext cx="15631" cy="2997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584690</xdr:colOff>
      <xdr:row>18</xdr:row>
      <xdr:rowOff>286871</xdr:rowOff>
    </xdr:from>
    <xdr:to>
      <xdr:col>25</xdr:col>
      <xdr:colOff>273424</xdr:colOff>
      <xdr:row>18</xdr:row>
      <xdr:rowOff>292100</xdr:rowOff>
    </xdr:to>
    <xdr:cxnSp macro="">
      <xdr:nvCxnSpPr>
        <xdr:cNvPr id="18" name="Straight Connector 17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CxnSpPr/>
      </xdr:nvCxnSpPr>
      <xdr:spPr>
        <a:xfrm flipV="1">
          <a:off x="8258478" y="6234953"/>
          <a:ext cx="907934" cy="522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1954</xdr:colOff>
      <xdr:row>18</xdr:row>
      <xdr:rowOff>5603</xdr:rowOff>
    </xdr:from>
    <xdr:to>
      <xdr:col>25</xdr:col>
      <xdr:colOff>8965</xdr:colOff>
      <xdr:row>19</xdr:row>
      <xdr:rowOff>0</xdr:rowOff>
    </xdr:to>
    <xdr:cxnSp macro="">
      <xdr:nvCxnSpPr>
        <xdr:cNvPr id="20" name="Straight Connector 19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CxnSpPr/>
      </xdr:nvCxnSpPr>
      <xdr:spPr>
        <a:xfrm>
          <a:off x="8894942" y="5953685"/>
          <a:ext cx="7011" cy="29023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268452</xdr:colOff>
      <xdr:row>18</xdr:row>
      <xdr:rowOff>278080</xdr:rowOff>
    </xdr:from>
    <xdr:to>
      <xdr:col>25</xdr:col>
      <xdr:colOff>280664</xdr:colOff>
      <xdr:row>19</xdr:row>
      <xdr:rowOff>0</xdr:rowOff>
    </xdr:to>
    <xdr:cxnSp macro="">
      <xdr:nvCxnSpPr>
        <xdr:cNvPr id="23" name="Straight Connector 22">
          <a:extLst>
            <a:ext uri="{FF2B5EF4-FFF2-40B4-BE49-F238E27FC236}">
              <a16:creationId xmlns:a16="http://schemas.microsoft.com/office/drawing/2014/main" id="{00000000-0008-0000-0500-000017000000}"/>
            </a:ext>
          </a:extLst>
        </xdr:cNvPr>
        <xdr:cNvCxnSpPr/>
      </xdr:nvCxnSpPr>
      <xdr:spPr>
        <a:xfrm>
          <a:off x="9161440" y="6226162"/>
          <a:ext cx="12212" cy="29566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18</xdr:row>
      <xdr:rowOff>6351</xdr:rowOff>
    </xdr:from>
    <xdr:to>
      <xdr:col>25</xdr:col>
      <xdr:colOff>0</xdr:colOff>
      <xdr:row>18</xdr:row>
      <xdr:rowOff>6839</xdr:rowOff>
    </xdr:to>
    <xdr:cxnSp macro="">
      <xdr:nvCxnSpPr>
        <xdr:cNvPr id="28" name="Straight Connector 27">
          <a:extLst>
            <a:ext uri="{FF2B5EF4-FFF2-40B4-BE49-F238E27FC236}">
              <a16:creationId xmlns:a16="http://schemas.microsoft.com/office/drawing/2014/main" id="{00000000-0008-0000-0500-00001C000000}"/>
            </a:ext>
          </a:extLst>
        </xdr:cNvPr>
        <xdr:cNvCxnSpPr>
          <a:endCxn id="12" idx="5"/>
        </xdr:cNvCxnSpPr>
      </xdr:nvCxnSpPr>
      <xdr:spPr>
        <a:xfrm flipV="1">
          <a:off x="8283388" y="5954433"/>
          <a:ext cx="609600" cy="4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122731</xdr:colOff>
      <xdr:row>11</xdr:row>
      <xdr:rowOff>7327</xdr:rowOff>
    </xdr:from>
    <xdr:to>
      <xdr:col>8</xdr:col>
      <xdr:colOff>128954</xdr:colOff>
      <xdr:row>12</xdr:row>
      <xdr:rowOff>29308</xdr:rowOff>
    </xdr:to>
    <xdr:cxnSp macro="">
      <xdr:nvCxnSpPr>
        <xdr:cNvPr id="29" name="Straight Arrow Connector 28">
          <a:extLst>
            <a:ext uri="{FF2B5EF4-FFF2-40B4-BE49-F238E27FC236}">
              <a16:creationId xmlns:a16="http://schemas.microsoft.com/office/drawing/2014/main" id="{00000000-0008-0000-0500-00001D000000}"/>
            </a:ext>
          </a:extLst>
        </xdr:cNvPr>
        <xdr:cNvCxnSpPr/>
      </xdr:nvCxnSpPr>
      <xdr:spPr>
        <a:xfrm>
          <a:off x="3293823" y="3061189"/>
          <a:ext cx="6223" cy="191965"/>
        </a:xfrm>
        <a:prstGeom prst="straightConnector1">
          <a:avLst/>
        </a:prstGeom>
        <a:ln w="3175"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126298</xdr:colOff>
      <xdr:row>13</xdr:row>
      <xdr:rowOff>0</xdr:rowOff>
    </xdr:from>
    <xdr:to>
      <xdr:col>8</xdr:col>
      <xdr:colOff>138928</xdr:colOff>
      <xdr:row>13</xdr:row>
      <xdr:rowOff>4210</xdr:rowOff>
    </xdr:to>
    <xdr:cxnSp macro="">
      <xdr:nvCxnSpPr>
        <xdr:cNvPr id="32" name="Straight Arrow Connector 31">
          <a:extLst>
            <a:ext uri="{FF2B5EF4-FFF2-40B4-BE49-F238E27FC236}">
              <a16:creationId xmlns:a16="http://schemas.microsoft.com/office/drawing/2014/main" id="{00000000-0008-0000-0500-000020000000}"/>
            </a:ext>
          </a:extLst>
        </xdr:cNvPr>
        <xdr:cNvCxnSpPr/>
      </xdr:nvCxnSpPr>
      <xdr:spPr>
        <a:xfrm flipH="1">
          <a:off x="3279547" y="4007867"/>
          <a:ext cx="12630" cy="370476"/>
        </a:xfrm>
        <a:prstGeom prst="straightConnector1">
          <a:avLst/>
        </a:prstGeom>
        <a:ln w="3175"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3</xdr:row>
      <xdr:rowOff>76201</xdr:rowOff>
    </xdr:from>
    <xdr:to>
      <xdr:col>3</xdr:col>
      <xdr:colOff>152400</xdr:colOff>
      <xdr:row>16</xdr:row>
      <xdr:rowOff>163851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8228" t="11694" r="33783" b="11069"/>
        <a:stretch/>
      </xdr:blipFill>
      <xdr:spPr>
        <a:xfrm>
          <a:off x="152399" y="1379221"/>
          <a:ext cx="1828801" cy="246509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3</xdr:row>
      <xdr:rowOff>76201</xdr:rowOff>
    </xdr:from>
    <xdr:to>
      <xdr:col>3</xdr:col>
      <xdr:colOff>152400</xdr:colOff>
      <xdr:row>16</xdr:row>
      <xdr:rowOff>163851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7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8228" t="11694" r="33783" b="11069"/>
        <a:stretch/>
      </xdr:blipFill>
      <xdr:spPr>
        <a:xfrm>
          <a:off x="152399" y="1378528"/>
          <a:ext cx="1828801" cy="24290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7620</xdr:colOff>
      <xdr:row>5</xdr:row>
      <xdr:rowOff>106680</xdr:rowOff>
    </xdr:from>
    <xdr:to>
      <xdr:col>5</xdr:col>
      <xdr:colOff>175260</xdr:colOff>
      <xdr:row>15</xdr:row>
      <xdr:rowOff>91440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/>
      </xdr:nvSpPr>
      <xdr:spPr>
        <a:xfrm rot="5400000">
          <a:off x="2301240" y="2438400"/>
          <a:ext cx="1935480" cy="16764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7</xdr:col>
      <xdr:colOff>12998</xdr:colOff>
      <xdr:row>5</xdr:row>
      <xdr:rowOff>9096</xdr:rowOff>
    </xdr:from>
    <xdr:to>
      <xdr:col>7</xdr:col>
      <xdr:colOff>258292</xdr:colOff>
      <xdr:row>5</xdr:row>
      <xdr:rowOff>11478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CxnSpPr/>
      </xdr:nvCxnSpPr>
      <xdr:spPr>
        <a:xfrm flipV="1">
          <a:off x="4120178" y="1456896"/>
          <a:ext cx="245294" cy="2382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349942</xdr:colOff>
      <xdr:row>17</xdr:row>
      <xdr:rowOff>63878</xdr:rowOff>
    </xdr:from>
    <xdr:to>
      <xdr:col>3</xdr:col>
      <xdr:colOff>359804</xdr:colOff>
      <xdr:row>18</xdr:row>
      <xdr:rowOff>90500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CxnSpPr/>
      </xdr:nvCxnSpPr>
      <xdr:spPr>
        <a:xfrm>
          <a:off x="2187707" y="4068113"/>
          <a:ext cx="9862" cy="20591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373529</xdr:colOff>
      <xdr:row>18</xdr:row>
      <xdr:rowOff>0</xdr:rowOff>
    </xdr:from>
    <xdr:to>
      <xdr:col>7</xdr:col>
      <xdr:colOff>268941</xdr:colOff>
      <xdr:row>18</xdr:row>
      <xdr:rowOff>7471</xdr:rowOff>
    </xdr:to>
    <xdr:cxnSp macro="">
      <xdr:nvCxnSpPr>
        <xdr:cNvPr id="8" name="Straight Arrow Connector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CxnSpPr/>
      </xdr:nvCxnSpPr>
      <xdr:spPr>
        <a:xfrm>
          <a:off x="2151529" y="3598333"/>
          <a:ext cx="2107329" cy="7471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294023</xdr:colOff>
      <xdr:row>17</xdr:row>
      <xdr:rowOff>61558</xdr:rowOff>
    </xdr:from>
    <xdr:to>
      <xdr:col>7</xdr:col>
      <xdr:colOff>303177</xdr:colOff>
      <xdr:row>18</xdr:row>
      <xdr:rowOff>83824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CxnSpPr/>
      </xdr:nvCxnSpPr>
      <xdr:spPr>
        <a:xfrm flipH="1">
          <a:off x="4417788" y="4065793"/>
          <a:ext cx="9154" cy="20156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365760</xdr:colOff>
      <xdr:row>15</xdr:row>
      <xdr:rowOff>91440</xdr:rowOff>
    </xdr:from>
    <xdr:to>
      <xdr:col>7</xdr:col>
      <xdr:colOff>266700</xdr:colOff>
      <xdr:row>16</xdr:row>
      <xdr:rowOff>15240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SpPr/>
      </xdr:nvSpPr>
      <xdr:spPr>
        <a:xfrm>
          <a:off x="2194560" y="3489960"/>
          <a:ext cx="2179320" cy="10668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3</xdr:col>
      <xdr:colOff>350520</xdr:colOff>
      <xdr:row>4</xdr:row>
      <xdr:rowOff>175260</xdr:rowOff>
    </xdr:from>
    <xdr:to>
      <xdr:col>7</xdr:col>
      <xdr:colOff>251460</xdr:colOff>
      <xdr:row>5</xdr:row>
      <xdr:rowOff>99060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SpPr/>
      </xdr:nvSpPr>
      <xdr:spPr>
        <a:xfrm>
          <a:off x="2179320" y="1440180"/>
          <a:ext cx="2179320" cy="10668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7</xdr:col>
      <xdr:colOff>457200</xdr:colOff>
      <xdr:row>4</xdr:row>
      <xdr:rowOff>299</xdr:rowOff>
    </xdr:from>
    <xdr:to>
      <xdr:col>7</xdr:col>
      <xdr:colOff>464820</xdr:colOff>
      <xdr:row>5</xdr:row>
      <xdr:rowOff>7919</xdr:rowOff>
    </xdr:to>
    <xdr:cxnSp macro="">
      <xdr:nvCxnSpPr>
        <xdr:cNvPr id="19" name="Straight Arrow Connector 18">
          <a:extLst>
            <a:ext uri="{FF2B5EF4-FFF2-40B4-BE49-F238E27FC236}">
              <a16:creationId xmlns:a16="http://schemas.microsoft.com/office/drawing/2014/main" id="{00000000-0008-0000-0800-000013000000}"/>
            </a:ext>
          </a:extLst>
        </xdr:cNvPr>
        <xdr:cNvCxnSpPr/>
      </xdr:nvCxnSpPr>
      <xdr:spPr>
        <a:xfrm>
          <a:off x="4580965" y="1494417"/>
          <a:ext cx="7620" cy="186914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76200</xdr:colOff>
      <xdr:row>5</xdr:row>
      <xdr:rowOff>106680</xdr:rowOff>
    </xdr:from>
    <xdr:to>
      <xdr:col>7</xdr:col>
      <xdr:colOff>83820</xdr:colOff>
      <xdr:row>15</xdr:row>
      <xdr:rowOff>53340</xdr:rowOff>
    </xdr:to>
    <xdr:cxnSp macro="">
      <xdr:nvCxnSpPr>
        <xdr:cNvPr id="32" name="Straight Arrow Connector 31">
          <a:extLst>
            <a:ext uri="{FF2B5EF4-FFF2-40B4-BE49-F238E27FC236}">
              <a16:creationId xmlns:a16="http://schemas.microsoft.com/office/drawing/2014/main" id="{00000000-0008-0000-0800-000020000000}"/>
            </a:ext>
          </a:extLst>
        </xdr:cNvPr>
        <xdr:cNvCxnSpPr/>
      </xdr:nvCxnSpPr>
      <xdr:spPr>
        <a:xfrm flipH="1">
          <a:off x="4183380" y="1645920"/>
          <a:ext cx="7620" cy="189738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472440</xdr:colOff>
      <xdr:row>7</xdr:row>
      <xdr:rowOff>0</xdr:rowOff>
    </xdr:from>
    <xdr:to>
      <xdr:col>4</xdr:col>
      <xdr:colOff>723900</xdr:colOff>
      <xdr:row>7</xdr:row>
      <xdr:rowOff>7620</xdr:rowOff>
    </xdr:to>
    <xdr:cxnSp macro="">
      <xdr:nvCxnSpPr>
        <xdr:cNvPr id="36" name="Straight Arrow Connector 35">
          <a:extLst>
            <a:ext uri="{FF2B5EF4-FFF2-40B4-BE49-F238E27FC236}">
              <a16:creationId xmlns:a16="http://schemas.microsoft.com/office/drawing/2014/main" id="{00000000-0008-0000-0800-000024000000}"/>
            </a:ext>
          </a:extLst>
        </xdr:cNvPr>
        <xdr:cNvCxnSpPr/>
      </xdr:nvCxnSpPr>
      <xdr:spPr>
        <a:xfrm flipV="1">
          <a:off x="2910840" y="1935480"/>
          <a:ext cx="251460" cy="762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7</xdr:row>
      <xdr:rowOff>0</xdr:rowOff>
    </xdr:from>
    <xdr:to>
      <xdr:col>6</xdr:col>
      <xdr:colOff>213360</xdr:colOff>
      <xdr:row>7</xdr:row>
      <xdr:rowOff>7620</xdr:rowOff>
    </xdr:to>
    <xdr:cxnSp macro="">
      <xdr:nvCxnSpPr>
        <xdr:cNvPr id="39" name="Straight Arrow Connector 38">
          <a:extLst>
            <a:ext uri="{FF2B5EF4-FFF2-40B4-BE49-F238E27FC236}">
              <a16:creationId xmlns:a16="http://schemas.microsoft.com/office/drawing/2014/main" id="{00000000-0008-0000-0800-000027000000}"/>
            </a:ext>
          </a:extLst>
        </xdr:cNvPr>
        <xdr:cNvCxnSpPr/>
      </xdr:nvCxnSpPr>
      <xdr:spPr>
        <a:xfrm flipH="1" flipV="1">
          <a:off x="3368040" y="1935480"/>
          <a:ext cx="213360" cy="762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467808</xdr:colOff>
      <xdr:row>6</xdr:row>
      <xdr:rowOff>18377</xdr:rowOff>
    </xdr:from>
    <xdr:to>
      <xdr:col>7</xdr:col>
      <xdr:colOff>478117</xdr:colOff>
      <xdr:row>7</xdr:row>
      <xdr:rowOff>7469</xdr:rowOff>
    </xdr:to>
    <xdr:cxnSp macro="">
      <xdr:nvCxnSpPr>
        <xdr:cNvPr id="11" name="Straight Arrow Connector 10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CxnSpPr/>
      </xdr:nvCxnSpPr>
      <xdr:spPr>
        <a:xfrm flipH="1" flipV="1">
          <a:off x="4591573" y="1893495"/>
          <a:ext cx="10309" cy="190798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37352</xdr:colOff>
      <xdr:row>5</xdr:row>
      <xdr:rowOff>9861</xdr:rowOff>
    </xdr:from>
    <xdr:to>
      <xdr:col>8</xdr:col>
      <xdr:colOff>37353</xdr:colOff>
      <xdr:row>16</xdr:row>
      <xdr:rowOff>29883</xdr:rowOff>
    </xdr:to>
    <xdr:cxnSp macro="">
      <xdr:nvCxnSpPr>
        <xdr:cNvPr id="17" name="Straight Arrow Connector 16">
          <a:extLst>
            <a:ext uri="{FF2B5EF4-FFF2-40B4-BE49-F238E27FC236}">
              <a16:creationId xmlns:a16="http://schemas.microsoft.com/office/drawing/2014/main" id="{00000000-0008-0000-0800-000011000000}"/>
            </a:ext>
          </a:extLst>
        </xdr:cNvPr>
        <xdr:cNvCxnSpPr/>
      </xdr:nvCxnSpPr>
      <xdr:spPr>
        <a:xfrm flipH="1">
          <a:off x="4773705" y="1683273"/>
          <a:ext cx="1" cy="217155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254000</xdr:colOff>
      <xdr:row>19</xdr:row>
      <xdr:rowOff>21167</xdr:rowOff>
    </xdr:from>
    <xdr:to>
      <xdr:col>7</xdr:col>
      <xdr:colOff>391583</xdr:colOff>
      <xdr:row>19</xdr:row>
      <xdr:rowOff>95251</xdr:rowOff>
    </xdr:to>
    <xdr:sp macro="" textlink="">
      <xdr:nvSpPr>
        <xdr:cNvPr id="22" name="Rectangle 21">
          <a:extLst>
            <a:ext uri="{FF2B5EF4-FFF2-40B4-BE49-F238E27FC236}">
              <a16:creationId xmlns:a16="http://schemas.microsoft.com/office/drawing/2014/main" id="{00000000-0008-0000-0800-000016000000}"/>
            </a:ext>
          </a:extLst>
        </xdr:cNvPr>
        <xdr:cNvSpPr/>
      </xdr:nvSpPr>
      <xdr:spPr>
        <a:xfrm>
          <a:off x="2032000" y="3810000"/>
          <a:ext cx="2349500" cy="74084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3</xdr:col>
      <xdr:colOff>232833</xdr:colOff>
      <xdr:row>20</xdr:row>
      <xdr:rowOff>10584</xdr:rowOff>
    </xdr:from>
    <xdr:to>
      <xdr:col>7</xdr:col>
      <xdr:colOff>444500</xdr:colOff>
      <xdr:row>20</xdr:row>
      <xdr:rowOff>10584</xdr:rowOff>
    </xdr:to>
    <xdr:cxnSp macro="">
      <xdr:nvCxnSpPr>
        <xdr:cNvPr id="23" name="Straight Arrow Connector 22">
          <a:extLst>
            <a:ext uri="{FF2B5EF4-FFF2-40B4-BE49-F238E27FC236}">
              <a16:creationId xmlns:a16="http://schemas.microsoft.com/office/drawing/2014/main" id="{00000000-0008-0000-0800-000017000000}"/>
            </a:ext>
          </a:extLst>
        </xdr:cNvPr>
        <xdr:cNvCxnSpPr/>
      </xdr:nvCxnSpPr>
      <xdr:spPr>
        <a:xfrm>
          <a:off x="2010833" y="3989917"/>
          <a:ext cx="2423584" cy="0"/>
        </a:xfrm>
        <a:prstGeom prst="straightConnector1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  <a:headEnd type="arrow"/>
          <a:tailEnd type="arrow"/>
        </a:ln>
        <a:effectLst/>
      </xdr:spPr>
    </xdr:cxnSp>
    <xdr:clientData/>
  </xdr:twoCellAnchor>
  <xdr:twoCellAnchor>
    <xdr:from>
      <xdr:col>8</xdr:col>
      <xdr:colOff>0</xdr:colOff>
      <xdr:row>18</xdr:row>
      <xdr:rowOff>0</xdr:rowOff>
    </xdr:from>
    <xdr:to>
      <xdr:col>8</xdr:col>
      <xdr:colOff>7620</xdr:colOff>
      <xdr:row>19</xdr:row>
      <xdr:rowOff>7620</xdr:rowOff>
    </xdr:to>
    <xdr:cxnSp macro="">
      <xdr:nvCxnSpPr>
        <xdr:cNvPr id="29" name="Straight Arrow Connector 28">
          <a:extLst>
            <a:ext uri="{FF2B5EF4-FFF2-40B4-BE49-F238E27FC236}">
              <a16:creationId xmlns:a16="http://schemas.microsoft.com/office/drawing/2014/main" id="{00000000-0008-0000-0800-00001D000000}"/>
            </a:ext>
          </a:extLst>
        </xdr:cNvPr>
        <xdr:cNvCxnSpPr/>
      </xdr:nvCxnSpPr>
      <xdr:spPr>
        <a:xfrm>
          <a:off x="4582583" y="3598333"/>
          <a:ext cx="7620" cy="198120"/>
        </a:xfrm>
        <a:prstGeom prst="straightConnector1">
          <a:avLst/>
        </a:prstGeom>
        <a:noFill/>
        <a:ln w="9525" cap="flat" cmpd="sng" algn="ctr">
          <a:solidFill>
            <a:sysClr val="windowText" lastClr="000000"/>
          </a:solidFill>
          <a:prstDash val="solid"/>
          <a:tailEnd type="triangle"/>
        </a:ln>
        <a:effectLst/>
      </xdr:spPr>
    </xdr:cxnSp>
    <xdr:clientData/>
  </xdr:twoCellAnchor>
  <xdr:twoCellAnchor>
    <xdr:from>
      <xdr:col>7</xdr:col>
      <xdr:colOff>582083</xdr:colOff>
      <xdr:row>19</xdr:row>
      <xdr:rowOff>148166</xdr:rowOff>
    </xdr:from>
    <xdr:to>
      <xdr:col>7</xdr:col>
      <xdr:colOff>592392</xdr:colOff>
      <xdr:row>20</xdr:row>
      <xdr:rowOff>147841</xdr:rowOff>
    </xdr:to>
    <xdr:cxnSp macro="">
      <xdr:nvCxnSpPr>
        <xdr:cNvPr id="30" name="Straight Arrow Connector 29">
          <a:extLst>
            <a:ext uri="{FF2B5EF4-FFF2-40B4-BE49-F238E27FC236}">
              <a16:creationId xmlns:a16="http://schemas.microsoft.com/office/drawing/2014/main" id="{00000000-0008-0000-0800-00001E000000}"/>
            </a:ext>
          </a:extLst>
        </xdr:cNvPr>
        <xdr:cNvCxnSpPr/>
      </xdr:nvCxnSpPr>
      <xdr:spPr>
        <a:xfrm flipH="1" flipV="1">
          <a:off x="4572000" y="3936999"/>
          <a:ext cx="10309" cy="190175"/>
        </a:xfrm>
        <a:prstGeom prst="straightConnector1">
          <a:avLst/>
        </a:prstGeom>
        <a:noFill/>
        <a:ln w="9525" cap="flat" cmpd="sng" algn="ctr">
          <a:solidFill>
            <a:sysClr val="windowText" lastClr="000000"/>
          </a:solidFill>
          <a:prstDash val="solid"/>
          <a:tailEnd type="triangle"/>
        </a:ln>
        <a:effectLst/>
      </xdr:spPr>
    </xdr:cxn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191673</xdr:colOff>
      <xdr:row>10</xdr:row>
      <xdr:rowOff>5860</xdr:rowOff>
    </xdr:from>
    <xdr:to>
      <xdr:col>2</xdr:col>
      <xdr:colOff>38100</xdr:colOff>
      <xdr:row>10</xdr:row>
      <xdr:rowOff>304799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/>
      </xdr:nvSpPr>
      <xdr:spPr>
        <a:xfrm>
          <a:off x="777827" y="4278922"/>
          <a:ext cx="45719" cy="298939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2</xdr:col>
      <xdr:colOff>198120</xdr:colOff>
      <xdr:row>10</xdr:row>
      <xdr:rowOff>5860</xdr:rowOff>
    </xdr:from>
    <xdr:to>
      <xdr:col>2</xdr:col>
      <xdr:colOff>243839</xdr:colOff>
      <xdr:row>10</xdr:row>
      <xdr:rowOff>304799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SpPr/>
      </xdr:nvSpPr>
      <xdr:spPr>
        <a:xfrm>
          <a:off x="983566" y="4278922"/>
          <a:ext cx="45719" cy="298939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175260</xdr:colOff>
      <xdr:row>10</xdr:row>
      <xdr:rowOff>0</xdr:rowOff>
    </xdr:from>
    <xdr:to>
      <xdr:col>5</xdr:col>
      <xdr:colOff>228600</xdr:colOff>
      <xdr:row>11</xdr:row>
      <xdr:rowOff>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SpPr/>
      </xdr:nvSpPr>
      <xdr:spPr>
        <a:xfrm>
          <a:off x="1569720" y="3329940"/>
          <a:ext cx="53340" cy="312420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381000</xdr:colOff>
      <xdr:row>10</xdr:row>
      <xdr:rowOff>0</xdr:rowOff>
    </xdr:from>
    <xdr:to>
      <xdr:col>5</xdr:col>
      <xdr:colOff>434340</xdr:colOff>
      <xdr:row>11</xdr:row>
      <xdr:rowOff>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SpPr/>
      </xdr:nvSpPr>
      <xdr:spPr>
        <a:xfrm>
          <a:off x="1775460" y="3329940"/>
          <a:ext cx="53340" cy="312420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6</xdr:col>
      <xdr:colOff>193431</xdr:colOff>
      <xdr:row>10</xdr:row>
      <xdr:rowOff>17584</xdr:rowOff>
    </xdr:from>
    <xdr:to>
      <xdr:col>6</xdr:col>
      <xdr:colOff>251460</xdr:colOff>
      <xdr:row>10</xdr:row>
      <xdr:rowOff>304800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SpPr/>
      </xdr:nvSpPr>
      <xdr:spPr>
        <a:xfrm>
          <a:off x="2198077" y="4290646"/>
          <a:ext cx="58029" cy="287216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6</xdr:col>
      <xdr:colOff>373380</xdr:colOff>
      <xdr:row>10</xdr:row>
      <xdr:rowOff>5860</xdr:rowOff>
    </xdr:from>
    <xdr:to>
      <xdr:col>6</xdr:col>
      <xdr:colOff>419686</xdr:colOff>
      <xdr:row>10</xdr:row>
      <xdr:rowOff>304799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0900-00000A000000}"/>
            </a:ext>
          </a:extLst>
        </xdr:cNvPr>
        <xdr:cNvSpPr/>
      </xdr:nvSpPr>
      <xdr:spPr>
        <a:xfrm>
          <a:off x="2378026" y="4278922"/>
          <a:ext cx="46306" cy="298939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7</xdr:col>
      <xdr:colOff>190500</xdr:colOff>
      <xdr:row>10</xdr:row>
      <xdr:rowOff>5860</xdr:rowOff>
    </xdr:from>
    <xdr:to>
      <xdr:col>7</xdr:col>
      <xdr:colOff>236806</xdr:colOff>
      <xdr:row>10</xdr:row>
      <xdr:rowOff>304799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900-00000C000000}"/>
            </a:ext>
          </a:extLst>
        </xdr:cNvPr>
        <xdr:cNvSpPr/>
      </xdr:nvSpPr>
      <xdr:spPr>
        <a:xfrm>
          <a:off x="2804746" y="4278922"/>
          <a:ext cx="46306" cy="298939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7</xdr:col>
      <xdr:colOff>403860</xdr:colOff>
      <xdr:row>10</xdr:row>
      <xdr:rowOff>5860</xdr:rowOff>
    </xdr:from>
    <xdr:to>
      <xdr:col>7</xdr:col>
      <xdr:colOff>450166</xdr:colOff>
      <xdr:row>10</xdr:row>
      <xdr:rowOff>304799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900-00000D000000}"/>
            </a:ext>
          </a:extLst>
        </xdr:cNvPr>
        <xdr:cNvSpPr/>
      </xdr:nvSpPr>
      <xdr:spPr>
        <a:xfrm>
          <a:off x="3018106" y="4278922"/>
          <a:ext cx="46306" cy="298939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7</xdr:col>
      <xdr:colOff>563880</xdr:colOff>
      <xdr:row>10</xdr:row>
      <xdr:rowOff>0</xdr:rowOff>
    </xdr:from>
    <xdr:to>
      <xdr:col>8</xdr:col>
      <xdr:colOff>7620</xdr:colOff>
      <xdr:row>11</xdr:row>
      <xdr:rowOff>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00000000-0008-0000-0900-00000E000000}"/>
            </a:ext>
          </a:extLst>
        </xdr:cNvPr>
        <xdr:cNvSpPr/>
      </xdr:nvSpPr>
      <xdr:spPr>
        <a:xfrm>
          <a:off x="3177540" y="3329940"/>
          <a:ext cx="53340" cy="312420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8</xdr:col>
      <xdr:colOff>160020</xdr:colOff>
      <xdr:row>10</xdr:row>
      <xdr:rowOff>0</xdr:rowOff>
    </xdr:from>
    <xdr:to>
      <xdr:col>8</xdr:col>
      <xdr:colOff>213360</xdr:colOff>
      <xdr:row>11</xdr:row>
      <xdr:rowOff>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0900-00000F000000}"/>
            </a:ext>
          </a:extLst>
        </xdr:cNvPr>
        <xdr:cNvSpPr/>
      </xdr:nvSpPr>
      <xdr:spPr>
        <a:xfrm>
          <a:off x="3383280" y="3329940"/>
          <a:ext cx="53340" cy="312420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8</xdr:col>
      <xdr:colOff>427892</xdr:colOff>
      <xdr:row>10</xdr:row>
      <xdr:rowOff>5860</xdr:rowOff>
    </xdr:from>
    <xdr:to>
      <xdr:col>9</xdr:col>
      <xdr:colOff>16998</xdr:colOff>
      <xdr:row>10</xdr:row>
      <xdr:rowOff>304799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0000000-0008-0000-0900-000010000000}"/>
            </a:ext>
          </a:extLst>
        </xdr:cNvPr>
        <xdr:cNvSpPr/>
      </xdr:nvSpPr>
      <xdr:spPr>
        <a:xfrm>
          <a:off x="3956538" y="4273060"/>
          <a:ext cx="46306" cy="298939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11</xdr:col>
      <xdr:colOff>144780</xdr:colOff>
      <xdr:row>10</xdr:row>
      <xdr:rowOff>0</xdr:rowOff>
    </xdr:from>
    <xdr:to>
      <xdr:col>11</xdr:col>
      <xdr:colOff>198120</xdr:colOff>
      <xdr:row>11</xdr:row>
      <xdr:rowOff>0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00000000-0008-0000-0900-000012000000}"/>
            </a:ext>
          </a:extLst>
        </xdr:cNvPr>
        <xdr:cNvSpPr/>
      </xdr:nvSpPr>
      <xdr:spPr>
        <a:xfrm>
          <a:off x="3977640" y="3329940"/>
          <a:ext cx="53340" cy="312420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11</xdr:col>
      <xdr:colOff>350520</xdr:colOff>
      <xdr:row>10</xdr:row>
      <xdr:rowOff>0</xdr:rowOff>
    </xdr:from>
    <xdr:to>
      <xdr:col>11</xdr:col>
      <xdr:colOff>403860</xdr:colOff>
      <xdr:row>11</xdr:row>
      <xdr:rowOff>0</xdr:rowOff>
    </xdr:to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id="{00000000-0008-0000-0900-000013000000}"/>
            </a:ext>
          </a:extLst>
        </xdr:cNvPr>
        <xdr:cNvSpPr/>
      </xdr:nvSpPr>
      <xdr:spPr>
        <a:xfrm>
          <a:off x="4183380" y="3329940"/>
          <a:ext cx="53340" cy="312420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12</xdr:col>
      <xdr:colOff>140091</xdr:colOff>
      <xdr:row>10</xdr:row>
      <xdr:rowOff>5862</xdr:rowOff>
    </xdr:from>
    <xdr:to>
      <xdr:col>12</xdr:col>
      <xdr:colOff>193431</xdr:colOff>
      <xdr:row>11</xdr:row>
      <xdr:rowOff>5862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00000000-0008-0000-0900-000015000000}"/>
            </a:ext>
          </a:extLst>
        </xdr:cNvPr>
        <xdr:cNvSpPr/>
      </xdr:nvSpPr>
      <xdr:spPr>
        <a:xfrm>
          <a:off x="5497537" y="4273062"/>
          <a:ext cx="53340" cy="310662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12</xdr:col>
      <xdr:colOff>335280</xdr:colOff>
      <xdr:row>10</xdr:row>
      <xdr:rowOff>7620</xdr:rowOff>
    </xdr:from>
    <xdr:to>
      <xdr:col>12</xdr:col>
      <xdr:colOff>388620</xdr:colOff>
      <xdr:row>11</xdr:row>
      <xdr:rowOff>7620</xdr:rowOff>
    </xdr:to>
    <xdr:sp macro="" textlink="">
      <xdr:nvSpPr>
        <xdr:cNvPr id="22" name="Rectangle 21">
          <a:extLst>
            <a:ext uri="{FF2B5EF4-FFF2-40B4-BE49-F238E27FC236}">
              <a16:creationId xmlns:a16="http://schemas.microsoft.com/office/drawing/2014/main" id="{00000000-0008-0000-0900-000016000000}"/>
            </a:ext>
          </a:extLst>
        </xdr:cNvPr>
        <xdr:cNvSpPr/>
      </xdr:nvSpPr>
      <xdr:spPr>
        <a:xfrm>
          <a:off x="4777740" y="3337560"/>
          <a:ext cx="53340" cy="312420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13</xdr:col>
      <xdr:colOff>152400</xdr:colOff>
      <xdr:row>10</xdr:row>
      <xdr:rowOff>0</xdr:rowOff>
    </xdr:from>
    <xdr:to>
      <xdr:col>13</xdr:col>
      <xdr:colOff>205740</xdr:colOff>
      <xdr:row>11</xdr:row>
      <xdr:rowOff>0</xdr:rowOff>
    </xdr:to>
    <xdr:sp macro="" textlink="">
      <xdr:nvSpPr>
        <xdr:cNvPr id="24" name="Rectangle 23">
          <a:extLst>
            <a:ext uri="{FF2B5EF4-FFF2-40B4-BE49-F238E27FC236}">
              <a16:creationId xmlns:a16="http://schemas.microsoft.com/office/drawing/2014/main" id="{00000000-0008-0000-0900-000018000000}"/>
            </a:ext>
          </a:extLst>
        </xdr:cNvPr>
        <xdr:cNvSpPr/>
      </xdr:nvSpPr>
      <xdr:spPr>
        <a:xfrm>
          <a:off x="5204460" y="3329940"/>
          <a:ext cx="53340" cy="312420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13</xdr:col>
      <xdr:colOff>399171</xdr:colOff>
      <xdr:row>10</xdr:row>
      <xdr:rowOff>0</xdr:rowOff>
    </xdr:from>
    <xdr:to>
      <xdr:col>13</xdr:col>
      <xdr:colOff>452511</xdr:colOff>
      <xdr:row>11</xdr:row>
      <xdr:rowOff>0</xdr:rowOff>
    </xdr:to>
    <xdr:sp macro="" textlink="">
      <xdr:nvSpPr>
        <xdr:cNvPr id="25" name="Rectangle 24">
          <a:extLst>
            <a:ext uri="{FF2B5EF4-FFF2-40B4-BE49-F238E27FC236}">
              <a16:creationId xmlns:a16="http://schemas.microsoft.com/office/drawing/2014/main" id="{00000000-0008-0000-0900-000019000000}"/>
            </a:ext>
          </a:extLst>
        </xdr:cNvPr>
        <xdr:cNvSpPr/>
      </xdr:nvSpPr>
      <xdr:spPr>
        <a:xfrm>
          <a:off x="6213817" y="4267200"/>
          <a:ext cx="53340" cy="310662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7</xdr:col>
      <xdr:colOff>289560</xdr:colOff>
      <xdr:row>17</xdr:row>
      <xdr:rowOff>7620</xdr:rowOff>
    </xdr:from>
    <xdr:to>
      <xdr:col>8</xdr:col>
      <xdr:colOff>266700</xdr:colOff>
      <xdr:row>25</xdr:row>
      <xdr:rowOff>7620</xdr:rowOff>
    </xdr:to>
    <xdr:sp macro="" textlink="">
      <xdr:nvSpPr>
        <xdr:cNvPr id="28" name="Rectangle 27">
          <a:extLst>
            <a:ext uri="{FF2B5EF4-FFF2-40B4-BE49-F238E27FC236}">
              <a16:creationId xmlns:a16="http://schemas.microsoft.com/office/drawing/2014/main" id="{00000000-0008-0000-0900-00001C000000}"/>
            </a:ext>
          </a:extLst>
        </xdr:cNvPr>
        <xdr:cNvSpPr/>
      </xdr:nvSpPr>
      <xdr:spPr>
        <a:xfrm>
          <a:off x="2903220" y="4358640"/>
          <a:ext cx="586740" cy="1463040"/>
        </a:xfrm>
        <a:prstGeom prst="rect">
          <a:avLst/>
        </a:prstGeom>
        <a:solidFill>
          <a:schemeClr val="bg1"/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IN" sz="1100" b="1">
            <a:solidFill>
              <a:schemeClr val="tx1"/>
            </a:solidFill>
          </a:endParaRPr>
        </a:p>
        <a:p>
          <a:pPr algn="ctr"/>
          <a:endParaRPr lang="en-IN" sz="1100" b="1">
            <a:solidFill>
              <a:schemeClr val="tx1"/>
            </a:solidFill>
          </a:endParaRPr>
        </a:p>
        <a:p>
          <a:pPr algn="ctr"/>
          <a:endParaRPr lang="en-IN" sz="1100" b="1">
            <a:solidFill>
              <a:schemeClr val="tx1"/>
            </a:solidFill>
          </a:endParaRPr>
        </a:p>
        <a:p>
          <a:pPr algn="ctr"/>
          <a:r>
            <a:rPr lang="en-IN" sz="1100" b="1">
              <a:solidFill>
                <a:schemeClr val="tx1"/>
              </a:solidFill>
            </a:rPr>
            <a:t>Test Pile</a:t>
          </a:r>
        </a:p>
      </xdr:txBody>
    </xdr:sp>
    <xdr:clientData/>
  </xdr:twoCellAnchor>
  <xdr:twoCellAnchor>
    <xdr:from>
      <xdr:col>7</xdr:col>
      <xdr:colOff>193431</xdr:colOff>
      <xdr:row>15</xdr:row>
      <xdr:rowOff>175846</xdr:rowOff>
    </xdr:from>
    <xdr:to>
      <xdr:col>8</xdr:col>
      <xdr:colOff>345831</xdr:colOff>
      <xdr:row>16</xdr:row>
      <xdr:rowOff>39858</xdr:rowOff>
    </xdr:to>
    <xdr:sp macro="" textlink="">
      <xdr:nvSpPr>
        <xdr:cNvPr id="29" name="Rectangle 28">
          <a:extLst>
            <a:ext uri="{FF2B5EF4-FFF2-40B4-BE49-F238E27FC236}">
              <a16:creationId xmlns:a16="http://schemas.microsoft.com/office/drawing/2014/main" id="{00000000-0008-0000-0900-00001D000000}"/>
            </a:ext>
          </a:extLst>
        </xdr:cNvPr>
        <xdr:cNvSpPr/>
      </xdr:nvSpPr>
      <xdr:spPr>
        <a:xfrm>
          <a:off x="2807091" y="4298266"/>
          <a:ext cx="762000" cy="46892"/>
        </a:xfrm>
        <a:prstGeom prst="rect">
          <a:avLst/>
        </a:prstGeom>
        <a:solidFill>
          <a:schemeClr val="bg1"/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7</xdr:col>
      <xdr:colOff>199292</xdr:colOff>
      <xdr:row>14</xdr:row>
      <xdr:rowOff>1</xdr:rowOff>
    </xdr:from>
    <xdr:to>
      <xdr:col>8</xdr:col>
      <xdr:colOff>351692</xdr:colOff>
      <xdr:row>14</xdr:row>
      <xdr:rowOff>45720</xdr:rowOff>
    </xdr:to>
    <xdr:sp macro="" textlink="">
      <xdr:nvSpPr>
        <xdr:cNvPr id="30" name="Rectangle 29">
          <a:extLst>
            <a:ext uri="{FF2B5EF4-FFF2-40B4-BE49-F238E27FC236}">
              <a16:creationId xmlns:a16="http://schemas.microsoft.com/office/drawing/2014/main" id="{00000000-0008-0000-0900-00001E000000}"/>
            </a:ext>
          </a:extLst>
        </xdr:cNvPr>
        <xdr:cNvSpPr/>
      </xdr:nvSpPr>
      <xdr:spPr>
        <a:xfrm>
          <a:off x="2812952" y="4076701"/>
          <a:ext cx="762000" cy="45719"/>
        </a:xfrm>
        <a:prstGeom prst="rect">
          <a:avLst/>
        </a:prstGeom>
        <a:solidFill>
          <a:schemeClr val="bg1"/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</xdr:col>
      <xdr:colOff>181708</xdr:colOff>
      <xdr:row>18</xdr:row>
      <xdr:rowOff>146539</xdr:rowOff>
    </xdr:from>
    <xdr:to>
      <xdr:col>2</xdr:col>
      <xdr:colOff>70339</xdr:colOff>
      <xdr:row>19</xdr:row>
      <xdr:rowOff>76200</xdr:rowOff>
    </xdr:to>
    <xdr:cxnSp macro="">
      <xdr:nvCxnSpPr>
        <xdr:cNvPr id="31" name="Straight Connector 30">
          <a:extLst>
            <a:ext uri="{FF2B5EF4-FFF2-40B4-BE49-F238E27FC236}">
              <a16:creationId xmlns:a16="http://schemas.microsoft.com/office/drawing/2014/main" id="{00000000-0008-0000-0900-00001F000000}"/>
            </a:ext>
          </a:extLst>
        </xdr:cNvPr>
        <xdr:cNvCxnSpPr/>
      </xdr:nvCxnSpPr>
      <xdr:spPr>
        <a:xfrm flipV="1">
          <a:off x="768448" y="4680439"/>
          <a:ext cx="86751" cy="112541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23447</xdr:colOff>
      <xdr:row>18</xdr:row>
      <xdr:rowOff>164123</xdr:rowOff>
    </xdr:from>
    <xdr:to>
      <xdr:col>2</xdr:col>
      <xdr:colOff>111370</xdr:colOff>
      <xdr:row>19</xdr:row>
      <xdr:rowOff>93784</xdr:rowOff>
    </xdr:to>
    <xdr:cxnSp macro="">
      <xdr:nvCxnSpPr>
        <xdr:cNvPr id="32" name="Straight Connector 31">
          <a:extLst>
            <a:ext uri="{FF2B5EF4-FFF2-40B4-BE49-F238E27FC236}">
              <a16:creationId xmlns:a16="http://schemas.microsoft.com/office/drawing/2014/main" id="{00000000-0008-0000-0900-000020000000}"/>
            </a:ext>
          </a:extLst>
        </xdr:cNvPr>
        <xdr:cNvCxnSpPr/>
      </xdr:nvCxnSpPr>
      <xdr:spPr>
        <a:xfrm flipV="1">
          <a:off x="808307" y="4698023"/>
          <a:ext cx="87923" cy="112541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35169</xdr:colOff>
      <xdr:row>18</xdr:row>
      <xdr:rowOff>158262</xdr:rowOff>
    </xdr:from>
    <xdr:to>
      <xdr:col>2</xdr:col>
      <xdr:colOff>123093</xdr:colOff>
      <xdr:row>19</xdr:row>
      <xdr:rowOff>52753</xdr:rowOff>
    </xdr:to>
    <xdr:cxnSp macro="">
      <xdr:nvCxnSpPr>
        <xdr:cNvPr id="33" name="Straight Connector 32">
          <a:extLst>
            <a:ext uri="{FF2B5EF4-FFF2-40B4-BE49-F238E27FC236}">
              <a16:creationId xmlns:a16="http://schemas.microsoft.com/office/drawing/2014/main" id="{00000000-0008-0000-0900-000021000000}"/>
            </a:ext>
          </a:extLst>
        </xdr:cNvPr>
        <xdr:cNvCxnSpPr/>
      </xdr:nvCxnSpPr>
      <xdr:spPr>
        <a:xfrm flipH="1" flipV="1">
          <a:off x="820029" y="4692162"/>
          <a:ext cx="87924" cy="77371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11723</xdr:colOff>
      <xdr:row>19</xdr:row>
      <xdr:rowOff>5862</xdr:rowOff>
    </xdr:from>
    <xdr:to>
      <xdr:col>2</xdr:col>
      <xdr:colOff>99647</xdr:colOff>
      <xdr:row>19</xdr:row>
      <xdr:rowOff>82061</xdr:rowOff>
    </xdr:to>
    <xdr:cxnSp macro="">
      <xdr:nvCxnSpPr>
        <xdr:cNvPr id="34" name="Straight Connector 33">
          <a:extLst>
            <a:ext uri="{FF2B5EF4-FFF2-40B4-BE49-F238E27FC236}">
              <a16:creationId xmlns:a16="http://schemas.microsoft.com/office/drawing/2014/main" id="{00000000-0008-0000-0900-000022000000}"/>
            </a:ext>
          </a:extLst>
        </xdr:cNvPr>
        <xdr:cNvCxnSpPr/>
      </xdr:nvCxnSpPr>
      <xdr:spPr>
        <a:xfrm flipH="1" flipV="1">
          <a:off x="796583" y="4722642"/>
          <a:ext cx="87924" cy="76199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179429</xdr:colOff>
      <xdr:row>18</xdr:row>
      <xdr:rowOff>153377</xdr:rowOff>
    </xdr:from>
    <xdr:to>
      <xdr:col>2</xdr:col>
      <xdr:colOff>68060</xdr:colOff>
      <xdr:row>19</xdr:row>
      <xdr:rowOff>83038</xdr:rowOff>
    </xdr:to>
    <xdr:cxnSp macro="">
      <xdr:nvCxnSpPr>
        <xdr:cNvPr id="35" name="Straight Connector 34">
          <a:extLst>
            <a:ext uri="{FF2B5EF4-FFF2-40B4-BE49-F238E27FC236}">
              <a16:creationId xmlns:a16="http://schemas.microsoft.com/office/drawing/2014/main" id="{00000000-0008-0000-0900-000023000000}"/>
            </a:ext>
          </a:extLst>
        </xdr:cNvPr>
        <xdr:cNvCxnSpPr/>
      </xdr:nvCxnSpPr>
      <xdr:spPr>
        <a:xfrm flipV="1">
          <a:off x="766169" y="4687277"/>
          <a:ext cx="86751" cy="112541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21168</xdr:colOff>
      <xdr:row>18</xdr:row>
      <xdr:rowOff>170961</xdr:rowOff>
    </xdr:from>
    <xdr:to>
      <xdr:col>2</xdr:col>
      <xdr:colOff>109091</xdr:colOff>
      <xdr:row>19</xdr:row>
      <xdr:rowOff>100622</xdr:rowOff>
    </xdr:to>
    <xdr:cxnSp macro="">
      <xdr:nvCxnSpPr>
        <xdr:cNvPr id="36" name="Straight Connector 35">
          <a:extLst>
            <a:ext uri="{FF2B5EF4-FFF2-40B4-BE49-F238E27FC236}">
              <a16:creationId xmlns:a16="http://schemas.microsoft.com/office/drawing/2014/main" id="{00000000-0008-0000-0900-000024000000}"/>
            </a:ext>
          </a:extLst>
        </xdr:cNvPr>
        <xdr:cNvCxnSpPr/>
      </xdr:nvCxnSpPr>
      <xdr:spPr>
        <a:xfrm flipV="1">
          <a:off x="806028" y="4704861"/>
          <a:ext cx="87923" cy="112541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32890</xdr:colOff>
      <xdr:row>18</xdr:row>
      <xdr:rowOff>165100</xdr:rowOff>
    </xdr:from>
    <xdr:to>
      <xdr:col>2</xdr:col>
      <xdr:colOff>120814</xdr:colOff>
      <xdr:row>19</xdr:row>
      <xdr:rowOff>59591</xdr:rowOff>
    </xdr:to>
    <xdr:cxnSp macro="">
      <xdr:nvCxnSpPr>
        <xdr:cNvPr id="37" name="Straight Connector 36">
          <a:extLst>
            <a:ext uri="{FF2B5EF4-FFF2-40B4-BE49-F238E27FC236}">
              <a16:creationId xmlns:a16="http://schemas.microsoft.com/office/drawing/2014/main" id="{00000000-0008-0000-0900-000025000000}"/>
            </a:ext>
          </a:extLst>
        </xdr:cNvPr>
        <xdr:cNvCxnSpPr/>
      </xdr:nvCxnSpPr>
      <xdr:spPr>
        <a:xfrm flipH="1" flipV="1">
          <a:off x="817750" y="4699000"/>
          <a:ext cx="87924" cy="77371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9444</xdr:colOff>
      <xdr:row>19</xdr:row>
      <xdr:rowOff>12700</xdr:rowOff>
    </xdr:from>
    <xdr:to>
      <xdr:col>2</xdr:col>
      <xdr:colOff>97368</xdr:colOff>
      <xdr:row>19</xdr:row>
      <xdr:rowOff>88899</xdr:rowOff>
    </xdr:to>
    <xdr:cxnSp macro="">
      <xdr:nvCxnSpPr>
        <xdr:cNvPr id="38" name="Straight Connector 37">
          <a:extLst>
            <a:ext uri="{FF2B5EF4-FFF2-40B4-BE49-F238E27FC236}">
              <a16:creationId xmlns:a16="http://schemas.microsoft.com/office/drawing/2014/main" id="{00000000-0008-0000-0900-000026000000}"/>
            </a:ext>
          </a:extLst>
        </xdr:cNvPr>
        <xdr:cNvCxnSpPr/>
      </xdr:nvCxnSpPr>
      <xdr:spPr>
        <a:xfrm flipH="1" flipV="1">
          <a:off x="794304" y="4729480"/>
          <a:ext cx="87924" cy="76199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283633</xdr:colOff>
      <xdr:row>18</xdr:row>
      <xdr:rowOff>148167</xdr:rowOff>
    </xdr:from>
    <xdr:to>
      <xdr:col>13</xdr:col>
      <xdr:colOff>371231</xdr:colOff>
      <xdr:row>19</xdr:row>
      <xdr:rowOff>77828</xdr:rowOff>
    </xdr:to>
    <xdr:cxnSp macro="">
      <xdr:nvCxnSpPr>
        <xdr:cNvPr id="39" name="Straight Connector 38">
          <a:extLst>
            <a:ext uri="{FF2B5EF4-FFF2-40B4-BE49-F238E27FC236}">
              <a16:creationId xmlns:a16="http://schemas.microsoft.com/office/drawing/2014/main" id="{00000000-0008-0000-0900-000027000000}"/>
            </a:ext>
          </a:extLst>
        </xdr:cNvPr>
        <xdr:cNvCxnSpPr/>
      </xdr:nvCxnSpPr>
      <xdr:spPr>
        <a:xfrm flipV="1">
          <a:off x="5335693" y="4682067"/>
          <a:ext cx="87598" cy="112541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324339</xdr:colOff>
      <xdr:row>18</xdr:row>
      <xdr:rowOff>165751</xdr:rowOff>
    </xdr:from>
    <xdr:to>
      <xdr:col>13</xdr:col>
      <xdr:colOff>412262</xdr:colOff>
      <xdr:row>19</xdr:row>
      <xdr:rowOff>95412</xdr:rowOff>
    </xdr:to>
    <xdr:cxnSp macro="">
      <xdr:nvCxnSpPr>
        <xdr:cNvPr id="40" name="Straight Connector 39">
          <a:extLst>
            <a:ext uri="{FF2B5EF4-FFF2-40B4-BE49-F238E27FC236}">
              <a16:creationId xmlns:a16="http://schemas.microsoft.com/office/drawing/2014/main" id="{00000000-0008-0000-0900-000028000000}"/>
            </a:ext>
          </a:extLst>
        </xdr:cNvPr>
        <xdr:cNvCxnSpPr/>
      </xdr:nvCxnSpPr>
      <xdr:spPr>
        <a:xfrm flipV="1">
          <a:off x="5376399" y="4699651"/>
          <a:ext cx="87923" cy="112541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336061</xdr:colOff>
      <xdr:row>18</xdr:row>
      <xdr:rowOff>159890</xdr:rowOff>
    </xdr:from>
    <xdr:to>
      <xdr:col>13</xdr:col>
      <xdr:colOff>423985</xdr:colOff>
      <xdr:row>19</xdr:row>
      <xdr:rowOff>54381</xdr:rowOff>
    </xdr:to>
    <xdr:cxnSp macro="">
      <xdr:nvCxnSpPr>
        <xdr:cNvPr id="41" name="Straight Connector 40">
          <a:extLst>
            <a:ext uri="{FF2B5EF4-FFF2-40B4-BE49-F238E27FC236}">
              <a16:creationId xmlns:a16="http://schemas.microsoft.com/office/drawing/2014/main" id="{00000000-0008-0000-0900-000029000000}"/>
            </a:ext>
          </a:extLst>
        </xdr:cNvPr>
        <xdr:cNvCxnSpPr/>
      </xdr:nvCxnSpPr>
      <xdr:spPr>
        <a:xfrm flipH="1" flipV="1">
          <a:off x="5388121" y="4693790"/>
          <a:ext cx="87924" cy="77371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312615</xdr:colOff>
      <xdr:row>19</xdr:row>
      <xdr:rowOff>7490</xdr:rowOff>
    </xdr:from>
    <xdr:to>
      <xdr:col>13</xdr:col>
      <xdr:colOff>400539</xdr:colOff>
      <xdr:row>19</xdr:row>
      <xdr:rowOff>83689</xdr:rowOff>
    </xdr:to>
    <xdr:cxnSp macro="">
      <xdr:nvCxnSpPr>
        <xdr:cNvPr id="42" name="Straight Connector 41">
          <a:extLst>
            <a:ext uri="{FF2B5EF4-FFF2-40B4-BE49-F238E27FC236}">
              <a16:creationId xmlns:a16="http://schemas.microsoft.com/office/drawing/2014/main" id="{00000000-0008-0000-0900-00002A000000}"/>
            </a:ext>
          </a:extLst>
        </xdr:cNvPr>
        <xdr:cNvCxnSpPr/>
      </xdr:nvCxnSpPr>
      <xdr:spPr>
        <a:xfrm flipH="1" flipV="1">
          <a:off x="5364675" y="4724270"/>
          <a:ext cx="87924" cy="76199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270933</xdr:colOff>
      <xdr:row>18</xdr:row>
      <xdr:rowOff>152401</xdr:rowOff>
    </xdr:from>
    <xdr:to>
      <xdr:col>13</xdr:col>
      <xdr:colOff>358531</xdr:colOff>
      <xdr:row>19</xdr:row>
      <xdr:rowOff>82062</xdr:rowOff>
    </xdr:to>
    <xdr:cxnSp macro="">
      <xdr:nvCxnSpPr>
        <xdr:cNvPr id="43" name="Straight Connector 42">
          <a:extLst>
            <a:ext uri="{FF2B5EF4-FFF2-40B4-BE49-F238E27FC236}">
              <a16:creationId xmlns:a16="http://schemas.microsoft.com/office/drawing/2014/main" id="{00000000-0008-0000-0900-00002B000000}"/>
            </a:ext>
          </a:extLst>
        </xdr:cNvPr>
        <xdr:cNvCxnSpPr/>
      </xdr:nvCxnSpPr>
      <xdr:spPr>
        <a:xfrm flipV="1">
          <a:off x="5322993" y="4686301"/>
          <a:ext cx="87598" cy="112541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311639</xdr:colOff>
      <xdr:row>18</xdr:row>
      <xdr:rowOff>169985</xdr:rowOff>
    </xdr:from>
    <xdr:to>
      <xdr:col>13</xdr:col>
      <xdr:colOff>399562</xdr:colOff>
      <xdr:row>19</xdr:row>
      <xdr:rowOff>99646</xdr:rowOff>
    </xdr:to>
    <xdr:cxnSp macro="">
      <xdr:nvCxnSpPr>
        <xdr:cNvPr id="44" name="Straight Connector 43">
          <a:extLst>
            <a:ext uri="{FF2B5EF4-FFF2-40B4-BE49-F238E27FC236}">
              <a16:creationId xmlns:a16="http://schemas.microsoft.com/office/drawing/2014/main" id="{00000000-0008-0000-0900-00002C000000}"/>
            </a:ext>
          </a:extLst>
        </xdr:cNvPr>
        <xdr:cNvCxnSpPr/>
      </xdr:nvCxnSpPr>
      <xdr:spPr>
        <a:xfrm flipV="1">
          <a:off x="5363699" y="4703885"/>
          <a:ext cx="87923" cy="112541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323361</xdr:colOff>
      <xdr:row>18</xdr:row>
      <xdr:rowOff>164124</xdr:rowOff>
    </xdr:from>
    <xdr:to>
      <xdr:col>13</xdr:col>
      <xdr:colOff>411285</xdr:colOff>
      <xdr:row>19</xdr:row>
      <xdr:rowOff>58615</xdr:rowOff>
    </xdr:to>
    <xdr:cxnSp macro="">
      <xdr:nvCxnSpPr>
        <xdr:cNvPr id="45" name="Straight Connector 44">
          <a:extLst>
            <a:ext uri="{FF2B5EF4-FFF2-40B4-BE49-F238E27FC236}">
              <a16:creationId xmlns:a16="http://schemas.microsoft.com/office/drawing/2014/main" id="{00000000-0008-0000-0900-00002D000000}"/>
            </a:ext>
          </a:extLst>
        </xdr:cNvPr>
        <xdr:cNvCxnSpPr/>
      </xdr:nvCxnSpPr>
      <xdr:spPr>
        <a:xfrm flipH="1" flipV="1">
          <a:off x="5375421" y="4698024"/>
          <a:ext cx="87924" cy="77371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299915</xdr:colOff>
      <xdr:row>19</xdr:row>
      <xdr:rowOff>11724</xdr:rowOff>
    </xdr:from>
    <xdr:to>
      <xdr:col>13</xdr:col>
      <xdr:colOff>387839</xdr:colOff>
      <xdr:row>19</xdr:row>
      <xdr:rowOff>87923</xdr:rowOff>
    </xdr:to>
    <xdr:cxnSp macro="">
      <xdr:nvCxnSpPr>
        <xdr:cNvPr id="46" name="Straight Connector 45">
          <a:extLst>
            <a:ext uri="{FF2B5EF4-FFF2-40B4-BE49-F238E27FC236}">
              <a16:creationId xmlns:a16="http://schemas.microsoft.com/office/drawing/2014/main" id="{00000000-0008-0000-0900-00002E000000}"/>
            </a:ext>
          </a:extLst>
        </xdr:cNvPr>
        <xdr:cNvCxnSpPr/>
      </xdr:nvCxnSpPr>
      <xdr:spPr>
        <a:xfrm flipH="1" flipV="1">
          <a:off x="5351975" y="4728504"/>
          <a:ext cx="87924" cy="76199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495317</xdr:colOff>
      <xdr:row>15</xdr:row>
      <xdr:rowOff>16656</xdr:rowOff>
    </xdr:from>
    <xdr:to>
      <xdr:col>7</xdr:col>
      <xdr:colOff>594377</xdr:colOff>
      <xdr:row>15</xdr:row>
      <xdr:rowOff>169056</xdr:rowOff>
    </xdr:to>
    <xdr:sp macro="" textlink="">
      <xdr:nvSpPr>
        <xdr:cNvPr id="50" name="Rectangle 49">
          <a:extLst>
            <a:ext uri="{FF2B5EF4-FFF2-40B4-BE49-F238E27FC236}">
              <a16:creationId xmlns:a16="http://schemas.microsoft.com/office/drawing/2014/main" id="{00000000-0008-0000-0900-000032000000}"/>
            </a:ext>
          </a:extLst>
        </xdr:cNvPr>
        <xdr:cNvSpPr/>
      </xdr:nvSpPr>
      <xdr:spPr>
        <a:xfrm>
          <a:off x="3110180" y="4925540"/>
          <a:ext cx="99060" cy="152400"/>
        </a:xfrm>
        <a:prstGeom prst="rect">
          <a:avLst/>
        </a:prstGeom>
        <a:solidFill>
          <a:schemeClr val="bg1"/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8</xdr:col>
      <xdr:colOff>3972</xdr:colOff>
      <xdr:row>15</xdr:row>
      <xdr:rowOff>14874</xdr:rowOff>
    </xdr:from>
    <xdr:to>
      <xdr:col>8</xdr:col>
      <xdr:colOff>103032</xdr:colOff>
      <xdr:row>15</xdr:row>
      <xdr:rowOff>167274</xdr:rowOff>
    </xdr:to>
    <xdr:sp macro="" textlink="">
      <xdr:nvSpPr>
        <xdr:cNvPr id="54" name="Rectangle 53">
          <a:extLst>
            <a:ext uri="{FF2B5EF4-FFF2-40B4-BE49-F238E27FC236}">
              <a16:creationId xmlns:a16="http://schemas.microsoft.com/office/drawing/2014/main" id="{00000000-0008-0000-0900-000036000000}"/>
            </a:ext>
          </a:extLst>
        </xdr:cNvPr>
        <xdr:cNvSpPr/>
      </xdr:nvSpPr>
      <xdr:spPr>
        <a:xfrm>
          <a:off x="3221305" y="4914957"/>
          <a:ext cx="99060" cy="152400"/>
        </a:xfrm>
        <a:prstGeom prst="rect">
          <a:avLst/>
        </a:prstGeom>
        <a:solidFill>
          <a:schemeClr val="bg1"/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10</xdr:col>
      <xdr:colOff>175260</xdr:colOff>
      <xdr:row>10</xdr:row>
      <xdr:rowOff>0</xdr:rowOff>
    </xdr:from>
    <xdr:to>
      <xdr:col>10</xdr:col>
      <xdr:colOff>228600</xdr:colOff>
      <xdr:row>11</xdr:row>
      <xdr:rowOff>0</xdr:rowOff>
    </xdr:to>
    <xdr:sp macro="" textlink="">
      <xdr:nvSpPr>
        <xdr:cNvPr id="57" name="Rectangle 56">
          <a:extLst>
            <a:ext uri="{FF2B5EF4-FFF2-40B4-BE49-F238E27FC236}">
              <a16:creationId xmlns:a16="http://schemas.microsoft.com/office/drawing/2014/main" id="{00000000-0008-0000-0900-000039000000}"/>
            </a:ext>
          </a:extLst>
        </xdr:cNvPr>
        <xdr:cNvSpPr/>
      </xdr:nvSpPr>
      <xdr:spPr>
        <a:xfrm>
          <a:off x="5837506" y="5650523"/>
          <a:ext cx="53340" cy="310662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10</xdr:col>
      <xdr:colOff>411480</xdr:colOff>
      <xdr:row>10</xdr:row>
      <xdr:rowOff>7620</xdr:rowOff>
    </xdr:from>
    <xdr:to>
      <xdr:col>11</xdr:col>
      <xdr:colOff>7620</xdr:colOff>
      <xdr:row>11</xdr:row>
      <xdr:rowOff>7620</xdr:rowOff>
    </xdr:to>
    <xdr:sp macro="" textlink="">
      <xdr:nvSpPr>
        <xdr:cNvPr id="58" name="Rectangle 57">
          <a:extLst>
            <a:ext uri="{FF2B5EF4-FFF2-40B4-BE49-F238E27FC236}">
              <a16:creationId xmlns:a16="http://schemas.microsoft.com/office/drawing/2014/main" id="{00000000-0008-0000-0900-00003A000000}"/>
            </a:ext>
          </a:extLst>
        </xdr:cNvPr>
        <xdr:cNvSpPr/>
      </xdr:nvSpPr>
      <xdr:spPr>
        <a:xfrm>
          <a:off x="4854526" y="4274820"/>
          <a:ext cx="53340" cy="310662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4</xdr:col>
      <xdr:colOff>175260</xdr:colOff>
      <xdr:row>10</xdr:row>
      <xdr:rowOff>0</xdr:rowOff>
    </xdr:from>
    <xdr:to>
      <xdr:col>4</xdr:col>
      <xdr:colOff>228600</xdr:colOff>
      <xdr:row>11</xdr:row>
      <xdr:rowOff>0</xdr:rowOff>
    </xdr:to>
    <xdr:sp macro="" textlink="">
      <xdr:nvSpPr>
        <xdr:cNvPr id="67" name="Rectangle 66">
          <a:extLst>
            <a:ext uri="{FF2B5EF4-FFF2-40B4-BE49-F238E27FC236}">
              <a16:creationId xmlns:a16="http://schemas.microsoft.com/office/drawing/2014/main" id="{00000000-0008-0000-0900-000043000000}"/>
            </a:ext>
          </a:extLst>
        </xdr:cNvPr>
        <xdr:cNvSpPr/>
      </xdr:nvSpPr>
      <xdr:spPr>
        <a:xfrm>
          <a:off x="2179906" y="5650523"/>
          <a:ext cx="53340" cy="310662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4</xdr:col>
      <xdr:colOff>381000</xdr:colOff>
      <xdr:row>10</xdr:row>
      <xdr:rowOff>0</xdr:rowOff>
    </xdr:from>
    <xdr:to>
      <xdr:col>4</xdr:col>
      <xdr:colOff>434340</xdr:colOff>
      <xdr:row>11</xdr:row>
      <xdr:rowOff>0</xdr:rowOff>
    </xdr:to>
    <xdr:sp macro="" textlink="">
      <xdr:nvSpPr>
        <xdr:cNvPr id="68" name="Rectangle 67">
          <a:extLst>
            <a:ext uri="{FF2B5EF4-FFF2-40B4-BE49-F238E27FC236}">
              <a16:creationId xmlns:a16="http://schemas.microsoft.com/office/drawing/2014/main" id="{00000000-0008-0000-0900-000044000000}"/>
            </a:ext>
          </a:extLst>
        </xdr:cNvPr>
        <xdr:cNvSpPr/>
      </xdr:nvSpPr>
      <xdr:spPr>
        <a:xfrm>
          <a:off x="2385646" y="5650523"/>
          <a:ext cx="53340" cy="310662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3</xdr:col>
      <xdr:colOff>53927</xdr:colOff>
      <xdr:row>10</xdr:row>
      <xdr:rowOff>0</xdr:rowOff>
    </xdr:from>
    <xdr:to>
      <xdr:col>3</xdr:col>
      <xdr:colOff>99646</xdr:colOff>
      <xdr:row>10</xdr:row>
      <xdr:rowOff>304800</xdr:rowOff>
    </xdr:to>
    <xdr:sp macro="" textlink="">
      <xdr:nvSpPr>
        <xdr:cNvPr id="71" name="Rectangle 70">
          <a:extLst>
            <a:ext uri="{FF2B5EF4-FFF2-40B4-BE49-F238E27FC236}">
              <a16:creationId xmlns:a16="http://schemas.microsoft.com/office/drawing/2014/main" id="{00000000-0008-0000-0900-000047000000}"/>
            </a:ext>
          </a:extLst>
        </xdr:cNvPr>
        <xdr:cNvSpPr/>
      </xdr:nvSpPr>
      <xdr:spPr>
        <a:xfrm>
          <a:off x="1296573" y="4378569"/>
          <a:ext cx="45719" cy="304800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3</xdr:col>
      <xdr:colOff>381000</xdr:colOff>
      <xdr:row>10</xdr:row>
      <xdr:rowOff>0</xdr:rowOff>
    </xdr:from>
    <xdr:to>
      <xdr:col>3</xdr:col>
      <xdr:colOff>434340</xdr:colOff>
      <xdr:row>11</xdr:row>
      <xdr:rowOff>0</xdr:rowOff>
    </xdr:to>
    <xdr:sp macro="" textlink="">
      <xdr:nvSpPr>
        <xdr:cNvPr id="72" name="Rectangle 71">
          <a:extLst>
            <a:ext uri="{FF2B5EF4-FFF2-40B4-BE49-F238E27FC236}">
              <a16:creationId xmlns:a16="http://schemas.microsoft.com/office/drawing/2014/main" id="{00000000-0008-0000-0900-000048000000}"/>
            </a:ext>
          </a:extLst>
        </xdr:cNvPr>
        <xdr:cNvSpPr/>
      </xdr:nvSpPr>
      <xdr:spPr>
        <a:xfrm>
          <a:off x="2385646" y="5650523"/>
          <a:ext cx="53340" cy="310662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9</xdr:col>
      <xdr:colOff>293077</xdr:colOff>
      <xdr:row>10</xdr:row>
      <xdr:rowOff>17583</xdr:rowOff>
    </xdr:from>
    <xdr:to>
      <xdr:col>9</xdr:col>
      <xdr:colOff>339383</xdr:colOff>
      <xdr:row>11</xdr:row>
      <xdr:rowOff>5860</xdr:rowOff>
    </xdr:to>
    <xdr:sp macro="" textlink="">
      <xdr:nvSpPr>
        <xdr:cNvPr id="75" name="Rectangle 74">
          <a:extLst>
            <a:ext uri="{FF2B5EF4-FFF2-40B4-BE49-F238E27FC236}">
              <a16:creationId xmlns:a16="http://schemas.microsoft.com/office/drawing/2014/main" id="{00000000-0008-0000-0900-00004B000000}"/>
            </a:ext>
          </a:extLst>
        </xdr:cNvPr>
        <xdr:cNvSpPr/>
      </xdr:nvSpPr>
      <xdr:spPr>
        <a:xfrm>
          <a:off x="4278923" y="4284783"/>
          <a:ext cx="46306" cy="298939"/>
        </a:xfrm>
        <a:prstGeom prst="rect">
          <a:avLst/>
        </a:prstGeom>
        <a:solidFill>
          <a:schemeClr val="bg2"/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3</xdr:col>
      <xdr:colOff>23446</xdr:colOff>
      <xdr:row>9</xdr:row>
      <xdr:rowOff>23446</xdr:rowOff>
    </xdr:from>
    <xdr:to>
      <xdr:col>4</xdr:col>
      <xdr:colOff>46892</xdr:colOff>
      <xdr:row>9</xdr:row>
      <xdr:rowOff>439615</xdr:rowOff>
    </xdr:to>
    <xdr:sp macro="" textlink="">
      <xdr:nvSpPr>
        <xdr:cNvPr id="77" name="Rectangle 76">
          <a:extLst>
            <a:ext uri="{FF2B5EF4-FFF2-40B4-BE49-F238E27FC236}">
              <a16:creationId xmlns:a16="http://schemas.microsoft.com/office/drawing/2014/main" id="{00000000-0008-0000-0900-00004D000000}"/>
            </a:ext>
          </a:extLst>
        </xdr:cNvPr>
        <xdr:cNvSpPr/>
      </xdr:nvSpPr>
      <xdr:spPr>
        <a:xfrm>
          <a:off x="1266092" y="3944815"/>
          <a:ext cx="480646" cy="416169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4</xdr:col>
      <xdr:colOff>11723</xdr:colOff>
      <xdr:row>9</xdr:row>
      <xdr:rowOff>23446</xdr:rowOff>
    </xdr:from>
    <xdr:to>
      <xdr:col>5</xdr:col>
      <xdr:colOff>35169</xdr:colOff>
      <xdr:row>9</xdr:row>
      <xdr:rowOff>439615</xdr:rowOff>
    </xdr:to>
    <xdr:sp macro="" textlink="">
      <xdr:nvSpPr>
        <xdr:cNvPr id="78" name="Rectangle 77">
          <a:extLst>
            <a:ext uri="{FF2B5EF4-FFF2-40B4-BE49-F238E27FC236}">
              <a16:creationId xmlns:a16="http://schemas.microsoft.com/office/drawing/2014/main" id="{00000000-0008-0000-0900-00004E000000}"/>
            </a:ext>
          </a:extLst>
        </xdr:cNvPr>
        <xdr:cNvSpPr/>
      </xdr:nvSpPr>
      <xdr:spPr>
        <a:xfrm>
          <a:off x="1711569" y="3944815"/>
          <a:ext cx="480646" cy="416169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4</xdr:col>
      <xdr:colOff>451338</xdr:colOff>
      <xdr:row>9</xdr:row>
      <xdr:rowOff>23446</xdr:rowOff>
    </xdr:from>
    <xdr:to>
      <xdr:col>6</xdr:col>
      <xdr:colOff>17584</xdr:colOff>
      <xdr:row>9</xdr:row>
      <xdr:rowOff>439615</xdr:rowOff>
    </xdr:to>
    <xdr:sp macro="" textlink="">
      <xdr:nvSpPr>
        <xdr:cNvPr id="79" name="Rectangle 78">
          <a:extLst>
            <a:ext uri="{FF2B5EF4-FFF2-40B4-BE49-F238E27FC236}">
              <a16:creationId xmlns:a16="http://schemas.microsoft.com/office/drawing/2014/main" id="{00000000-0008-0000-0900-00004F000000}"/>
            </a:ext>
          </a:extLst>
        </xdr:cNvPr>
        <xdr:cNvSpPr/>
      </xdr:nvSpPr>
      <xdr:spPr>
        <a:xfrm>
          <a:off x="2151184" y="3944815"/>
          <a:ext cx="480646" cy="416169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433754</xdr:colOff>
      <xdr:row>9</xdr:row>
      <xdr:rowOff>23446</xdr:rowOff>
    </xdr:from>
    <xdr:to>
      <xdr:col>7</xdr:col>
      <xdr:colOff>0</xdr:colOff>
      <xdr:row>9</xdr:row>
      <xdr:rowOff>439615</xdr:rowOff>
    </xdr:to>
    <xdr:sp macro="" textlink="">
      <xdr:nvSpPr>
        <xdr:cNvPr id="80" name="Rectangle 79">
          <a:extLst>
            <a:ext uri="{FF2B5EF4-FFF2-40B4-BE49-F238E27FC236}">
              <a16:creationId xmlns:a16="http://schemas.microsoft.com/office/drawing/2014/main" id="{00000000-0008-0000-0900-000050000000}"/>
            </a:ext>
          </a:extLst>
        </xdr:cNvPr>
        <xdr:cNvSpPr/>
      </xdr:nvSpPr>
      <xdr:spPr>
        <a:xfrm>
          <a:off x="2590800" y="3944815"/>
          <a:ext cx="480646" cy="416169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6</xdr:col>
      <xdr:colOff>422031</xdr:colOff>
      <xdr:row>9</xdr:row>
      <xdr:rowOff>23446</xdr:rowOff>
    </xdr:from>
    <xdr:to>
      <xdr:col>7</xdr:col>
      <xdr:colOff>445477</xdr:colOff>
      <xdr:row>9</xdr:row>
      <xdr:rowOff>439615</xdr:rowOff>
    </xdr:to>
    <xdr:sp macro="" textlink="">
      <xdr:nvSpPr>
        <xdr:cNvPr id="81" name="Rectangle 80">
          <a:extLst>
            <a:ext uri="{FF2B5EF4-FFF2-40B4-BE49-F238E27FC236}">
              <a16:creationId xmlns:a16="http://schemas.microsoft.com/office/drawing/2014/main" id="{00000000-0008-0000-0900-000051000000}"/>
            </a:ext>
          </a:extLst>
        </xdr:cNvPr>
        <xdr:cNvSpPr/>
      </xdr:nvSpPr>
      <xdr:spPr>
        <a:xfrm>
          <a:off x="3036277" y="4056184"/>
          <a:ext cx="480646" cy="416169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8</xdr:col>
      <xdr:colOff>5861</xdr:colOff>
      <xdr:row>9</xdr:row>
      <xdr:rowOff>29307</xdr:rowOff>
    </xdr:from>
    <xdr:to>
      <xdr:col>9</xdr:col>
      <xdr:colOff>29307</xdr:colOff>
      <xdr:row>9</xdr:row>
      <xdr:rowOff>445476</xdr:rowOff>
    </xdr:to>
    <xdr:sp macro="" textlink="">
      <xdr:nvSpPr>
        <xdr:cNvPr id="93" name="Rectangle 92">
          <a:extLst>
            <a:ext uri="{FF2B5EF4-FFF2-40B4-BE49-F238E27FC236}">
              <a16:creationId xmlns:a16="http://schemas.microsoft.com/office/drawing/2014/main" id="{00000000-0008-0000-0900-00005D000000}"/>
            </a:ext>
          </a:extLst>
        </xdr:cNvPr>
        <xdr:cNvSpPr/>
      </xdr:nvSpPr>
      <xdr:spPr>
        <a:xfrm>
          <a:off x="3534507" y="3950676"/>
          <a:ext cx="480646" cy="416169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9</xdr:col>
      <xdr:colOff>23446</xdr:colOff>
      <xdr:row>9</xdr:row>
      <xdr:rowOff>23446</xdr:rowOff>
    </xdr:from>
    <xdr:to>
      <xdr:col>10</xdr:col>
      <xdr:colOff>46892</xdr:colOff>
      <xdr:row>9</xdr:row>
      <xdr:rowOff>439615</xdr:rowOff>
    </xdr:to>
    <xdr:sp macro="" textlink="">
      <xdr:nvSpPr>
        <xdr:cNvPr id="94" name="Rectangle 93">
          <a:extLst>
            <a:ext uri="{FF2B5EF4-FFF2-40B4-BE49-F238E27FC236}">
              <a16:creationId xmlns:a16="http://schemas.microsoft.com/office/drawing/2014/main" id="{00000000-0008-0000-0900-00005E000000}"/>
            </a:ext>
          </a:extLst>
        </xdr:cNvPr>
        <xdr:cNvSpPr/>
      </xdr:nvSpPr>
      <xdr:spPr>
        <a:xfrm>
          <a:off x="4009292" y="3944815"/>
          <a:ext cx="480646" cy="416169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10</xdr:col>
      <xdr:colOff>11723</xdr:colOff>
      <xdr:row>9</xdr:row>
      <xdr:rowOff>23446</xdr:rowOff>
    </xdr:from>
    <xdr:to>
      <xdr:col>11</xdr:col>
      <xdr:colOff>35169</xdr:colOff>
      <xdr:row>9</xdr:row>
      <xdr:rowOff>439615</xdr:rowOff>
    </xdr:to>
    <xdr:sp macro="" textlink="">
      <xdr:nvSpPr>
        <xdr:cNvPr id="95" name="Rectangle 94">
          <a:extLst>
            <a:ext uri="{FF2B5EF4-FFF2-40B4-BE49-F238E27FC236}">
              <a16:creationId xmlns:a16="http://schemas.microsoft.com/office/drawing/2014/main" id="{00000000-0008-0000-0900-00005F000000}"/>
            </a:ext>
          </a:extLst>
        </xdr:cNvPr>
        <xdr:cNvSpPr/>
      </xdr:nvSpPr>
      <xdr:spPr>
        <a:xfrm>
          <a:off x="4454769" y="3944815"/>
          <a:ext cx="480646" cy="416169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10</xdr:col>
      <xdr:colOff>451338</xdr:colOff>
      <xdr:row>9</xdr:row>
      <xdr:rowOff>23446</xdr:rowOff>
    </xdr:from>
    <xdr:to>
      <xdr:col>12</xdr:col>
      <xdr:colOff>17584</xdr:colOff>
      <xdr:row>9</xdr:row>
      <xdr:rowOff>439615</xdr:rowOff>
    </xdr:to>
    <xdr:sp macro="" textlink="">
      <xdr:nvSpPr>
        <xdr:cNvPr id="96" name="Rectangle 95">
          <a:extLst>
            <a:ext uri="{FF2B5EF4-FFF2-40B4-BE49-F238E27FC236}">
              <a16:creationId xmlns:a16="http://schemas.microsoft.com/office/drawing/2014/main" id="{00000000-0008-0000-0900-000060000000}"/>
            </a:ext>
          </a:extLst>
        </xdr:cNvPr>
        <xdr:cNvSpPr/>
      </xdr:nvSpPr>
      <xdr:spPr>
        <a:xfrm>
          <a:off x="4894384" y="3944815"/>
          <a:ext cx="480646" cy="416169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11</xdr:col>
      <xdr:colOff>433754</xdr:colOff>
      <xdr:row>9</xdr:row>
      <xdr:rowOff>23446</xdr:rowOff>
    </xdr:from>
    <xdr:to>
      <xdr:col>13</xdr:col>
      <xdr:colOff>0</xdr:colOff>
      <xdr:row>9</xdr:row>
      <xdr:rowOff>439615</xdr:rowOff>
    </xdr:to>
    <xdr:sp macro="" textlink="">
      <xdr:nvSpPr>
        <xdr:cNvPr id="97" name="Rectangle 96">
          <a:extLst>
            <a:ext uri="{FF2B5EF4-FFF2-40B4-BE49-F238E27FC236}">
              <a16:creationId xmlns:a16="http://schemas.microsoft.com/office/drawing/2014/main" id="{00000000-0008-0000-0900-000061000000}"/>
            </a:ext>
          </a:extLst>
        </xdr:cNvPr>
        <xdr:cNvSpPr/>
      </xdr:nvSpPr>
      <xdr:spPr>
        <a:xfrm>
          <a:off x="5334000" y="3944815"/>
          <a:ext cx="480646" cy="416169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3</xdr:col>
      <xdr:colOff>17585</xdr:colOff>
      <xdr:row>8</xdr:row>
      <xdr:rowOff>76200</xdr:rowOff>
    </xdr:from>
    <xdr:to>
      <xdr:col>4</xdr:col>
      <xdr:colOff>41031</xdr:colOff>
      <xdr:row>9</xdr:row>
      <xdr:rowOff>29307</xdr:rowOff>
    </xdr:to>
    <xdr:sp macro="" textlink="">
      <xdr:nvSpPr>
        <xdr:cNvPr id="100" name="Rectangle 99">
          <a:extLst>
            <a:ext uri="{FF2B5EF4-FFF2-40B4-BE49-F238E27FC236}">
              <a16:creationId xmlns:a16="http://schemas.microsoft.com/office/drawing/2014/main" id="{00000000-0008-0000-0900-000064000000}"/>
            </a:ext>
          </a:extLst>
        </xdr:cNvPr>
        <xdr:cNvSpPr/>
      </xdr:nvSpPr>
      <xdr:spPr>
        <a:xfrm>
          <a:off x="1260231" y="3651738"/>
          <a:ext cx="480646" cy="298938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4</xdr:col>
      <xdr:colOff>5862</xdr:colOff>
      <xdr:row>8</xdr:row>
      <xdr:rowOff>76200</xdr:rowOff>
    </xdr:from>
    <xdr:to>
      <xdr:col>5</xdr:col>
      <xdr:colOff>29308</xdr:colOff>
      <xdr:row>9</xdr:row>
      <xdr:rowOff>29307</xdr:rowOff>
    </xdr:to>
    <xdr:sp macro="" textlink="">
      <xdr:nvSpPr>
        <xdr:cNvPr id="101" name="Rectangle 100">
          <a:extLst>
            <a:ext uri="{FF2B5EF4-FFF2-40B4-BE49-F238E27FC236}">
              <a16:creationId xmlns:a16="http://schemas.microsoft.com/office/drawing/2014/main" id="{00000000-0008-0000-0900-000065000000}"/>
            </a:ext>
          </a:extLst>
        </xdr:cNvPr>
        <xdr:cNvSpPr/>
      </xdr:nvSpPr>
      <xdr:spPr>
        <a:xfrm>
          <a:off x="1705708" y="3651738"/>
          <a:ext cx="480646" cy="298938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4</xdr:col>
      <xdr:colOff>445477</xdr:colOff>
      <xdr:row>8</xdr:row>
      <xdr:rowOff>76200</xdr:rowOff>
    </xdr:from>
    <xdr:to>
      <xdr:col>6</xdr:col>
      <xdr:colOff>11723</xdr:colOff>
      <xdr:row>9</xdr:row>
      <xdr:rowOff>29307</xdr:rowOff>
    </xdr:to>
    <xdr:sp macro="" textlink="">
      <xdr:nvSpPr>
        <xdr:cNvPr id="102" name="Rectangle 101">
          <a:extLst>
            <a:ext uri="{FF2B5EF4-FFF2-40B4-BE49-F238E27FC236}">
              <a16:creationId xmlns:a16="http://schemas.microsoft.com/office/drawing/2014/main" id="{00000000-0008-0000-0900-000066000000}"/>
            </a:ext>
          </a:extLst>
        </xdr:cNvPr>
        <xdr:cNvSpPr/>
      </xdr:nvSpPr>
      <xdr:spPr>
        <a:xfrm>
          <a:off x="2145323" y="3651738"/>
          <a:ext cx="480646" cy="298938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427893</xdr:colOff>
      <xdr:row>8</xdr:row>
      <xdr:rowOff>76200</xdr:rowOff>
    </xdr:from>
    <xdr:to>
      <xdr:col>6</xdr:col>
      <xdr:colOff>451339</xdr:colOff>
      <xdr:row>9</xdr:row>
      <xdr:rowOff>29307</xdr:rowOff>
    </xdr:to>
    <xdr:sp macro="" textlink="">
      <xdr:nvSpPr>
        <xdr:cNvPr id="103" name="Rectangle 102">
          <a:extLst>
            <a:ext uri="{FF2B5EF4-FFF2-40B4-BE49-F238E27FC236}">
              <a16:creationId xmlns:a16="http://schemas.microsoft.com/office/drawing/2014/main" id="{00000000-0008-0000-0900-000067000000}"/>
            </a:ext>
          </a:extLst>
        </xdr:cNvPr>
        <xdr:cNvSpPr/>
      </xdr:nvSpPr>
      <xdr:spPr>
        <a:xfrm>
          <a:off x="2584939" y="3651738"/>
          <a:ext cx="480646" cy="298938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6</xdr:col>
      <xdr:colOff>416170</xdr:colOff>
      <xdr:row>8</xdr:row>
      <xdr:rowOff>70338</xdr:rowOff>
    </xdr:from>
    <xdr:to>
      <xdr:col>7</xdr:col>
      <xdr:colOff>439616</xdr:colOff>
      <xdr:row>9</xdr:row>
      <xdr:rowOff>23445</xdr:rowOff>
    </xdr:to>
    <xdr:sp macro="" textlink="">
      <xdr:nvSpPr>
        <xdr:cNvPr id="104" name="Rectangle 103">
          <a:extLst>
            <a:ext uri="{FF2B5EF4-FFF2-40B4-BE49-F238E27FC236}">
              <a16:creationId xmlns:a16="http://schemas.microsoft.com/office/drawing/2014/main" id="{00000000-0008-0000-0900-000068000000}"/>
            </a:ext>
          </a:extLst>
        </xdr:cNvPr>
        <xdr:cNvSpPr/>
      </xdr:nvSpPr>
      <xdr:spPr>
        <a:xfrm>
          <a:off x="3030416" y="3645876"/>
          <a:ext cx="480646" cy="298938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8</xdr:col>
      <xdr:colOff>1</xdr:colOff>
      <xdr:row>8</xdr:row>
      <xdr:rowOff>64477</xdr:rowOff>
    </xdr:from>
    <xdr:to>
      <xdr:col>9</xdr:col>
      <xdr:colOff>23447</xdr:colOff>
      <xdr:row>9</xdr:row>
      <xdr:rowOff>17584</xdr:rowOff>
    </xdr:to>
    <xdr:sp macro="" textlink="">
      <xdr:nvSpPr>
        <xdr:cNvPr id="105" name="Rectangle 104">
          <a:extLst>
            <a:ext uri="{FF2B5EF4-FFF2-40B4-BE49-F238E27FC236}">
              <a16:creationId xmlns:a16="http://schemas.microsoft.com/office/drawing/2014/main" id="{00000000-0008-0000-0900-000069000000}"/>
            </a:ext>
          </a:extLst>
        </xdr:cNvPr>
        <xdr:cNvSpPr/>
      </xdr:nvSpPr>
      <xdr:spPr>
        <a:xfrm>
          <a:off x="3528647" y="3640015"/>
          <a:ext cx="480646" cy="298938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8</xdr:col>
      <xdr:colOff>445478</xdr:colOff>
      <xdr:row>8</xdr:row>
      <xdr:rowOff>64477</xdr:rowOff>
    </xdr:from>
    <xdr:to>
      <xdr:col>10</xdr:col>
      <xdr:colOff>11724</xdr:colOff>
      <xdr:row>9</xdr:row>
      <xdr:rowOff>17584</xdr:rowOff>
    </xdr:to>
    <xdr:sp macro="" textlink="">
      <xdr:nvSpPr>
        <xdr:cNvPr id="106" name="Rectangle 105">
          <a:extLst>
            <a:ext uri="{FF2B5EF4-FFF2-40B4-BE49-F238E27FC236}">
              <a16:creationId xmlns:a16="http://schemas.microsoft.com/office/drawing/2014/main" id="{00000000-0008-0000-0900-00006A000000}"/>
            </a:ext>
          </a:extLst>
        </xdr:cNvPr>
        <xdr:cNvSpPr/>
      </xdr:nvSpPr>
      <xdr:spPr>
        <a:xfrm>
          <a:off x="3974124" y="3640015"/>
          <a:ext cx="480646" cy="298938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9</xdr:col>
      <xdr:colOff>451340</xdr:colOff>
      <xdr:row>8</xdr:row>
      <xdr:rowOff>70338</xdr:rowOff>
    </xdr:from>
    <xdr:to>
      <xdr:col>11</xdr:col>
      <xdr:colOff>17586</xdr:colOff>
      <xdr:row>9</xdr:row>
      <xdr:rowOff>23445</xdr:rowOff>
    </xdr:to>
    <xdr:sp macro="" textlink="">
      <xdr:nvSpPr>
        <xdr:cNvPr id="107" name="Rectangle 106">
          <a:extLst>
            <a:ext uri="{FF2B5EF4-FFF2-40B4-BE49-F238E27FC236}">
              <a16:creationId xmlns:a16="http://schemas.microsoft.com/office/drawing/2014/main" id="{00000000-0008-0000-0900-00006B000000}"/>
            </a:ext>
          </a:extLst>
        </xdr:cNvPr>
        <xdr:cNvSpPr/>
      </xdr:nvSpPr>
      <xdr:spPr>
        <a:xfrm>
          <a:off x="4437186" y="3645876"/>
          <a:ext cx="480646" cy="410307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10</xdr:col>
      <xdr:colOff>451340</xdr:colOff>
      <xdr:row>8</xdr:row>
      <xdr:rowOff>82061</xdr:rowOff>
    </xdr:from>
    <xdr:to>
      <xdr:col>12</xdr:col>
      <xdr:colOff>17586</xdr:colOff>
      <xdr:row>9</xdr:row>
      <xdr:rowOff>35168</xdr:rowOff>
    </xdr:to>
    <xdr:sp macro="" textlink="">
      <xdr:nvSpPr>
        <xdr:cNvPr id="108" name="Rectangle 107">
          <a:extLst>
            <a:ext uri="{FF2B5EF4-FFF2-40B4-BE49-F238E27FC236}">
              <a16:creationId xmlns:a16="http://schemas.microsoft.com/office/drawing/2014/main" id="{00000000-0008-0000-0900-00006C000000}"/>
            </a:ext>
          </a:extLst>
        </xdr:cNvPr>
        <xdr:cNvSpPr/>
      </xdr:nvSpPr>
      <xdr:spPr>
        <a:xfrm>
          <a:off x="4894386" y="3657599"/>
          <a:ext cx="480646" cy="410307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11</xdr:col>
      <xdr:colOff>427893</xdr:colOff>
      <xdr:row>8</xdr:row>
      <xdr:rowOff>76200</xdr:rowOff>
    </xdr:from>
    <xdr:to>
      <xdr:col>12</xdr:col>
      <xdr:colOff>451339</xdr:colOff>
      <xdr:row>9</xdr:row>
      <xdr:rowOff>29307</xdr:rowOff>
    </xdr:to>
    <xdr:sp macro="" textlink="">
      <xdr:nvSpPr>
        <xdr:cNvPr id="109" name="Rectangle 108">
          <a:extLst>
            <a:ext uri="{FF2B5EF4-FFF2-40B4-BE49-F238E27FC236}">
              <a16:creationId xmlns:a16="http://schemas.microsoft.com/office/drawing/2014/main" id="{00000000-0008-0000-0900-00006D000000}"/>
            </a:ext>
          </a:extLst>
        </xdr:cNvPr>
        <xdr:cNvSpPr/>
      </xdr:nvSpPr>
      <xdr:spPr>
        <a:xfrm>
          <a:off x="5328139" y="3651738"/>
          <a:ext cx="480646" cy="410307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4</xdr:col>
      <xdr:colOff>445477</xdr:colOff>
      <xdr:row>7</xdr:row>
      <xdr:rowOff>105507</xdr:rowOff>
    </xdr:from>
    <xdr:to>
      <xdr:col>6</xdr:col>
      <xdr:colOff>11723</xdr:colOff>
      <xdr:row>8</xdr:row>
      <xdr:rowOff>58615</xdr:rowOff>
    </xdr:to>
    <xdr:sp macro="" textlink="">
      <xdr:nvSpPr>
        <xdr:cNvPr id="47" name="Rectangle 46">
          <a:extLst>
            <a:ext uri="{FF2B5EF4-FFF2-40B4-BE49-F238E27FC236}">
              <a16:creationId xmlns:a16="http://schemas.microsoft.com/office/drawing/2014/main" id="{00000000-0008-0000-0900-00002F000000}"/>
            </a:ext>
          </a:extLst>
        </xdr:cNvPr>
        <xdr:cNvSpPr/>
      </xdr:nvSpPr>
      <xdr:spPr>
        <a:xfrm>
          <a:off x="2145323" y="3335215"/>
          <a:ext cx="480646" cy="298938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427893</xdr:colOff>
      <xdr:row>7</xdr:row>
      <xdr:rowOff>105507</xdr:rowOff>
    </xdr:from>
    <xdr:to>
      <xdr:col>6</xdr:col>
      <xdr:colOff>451339</xdr:colOff>
      <xdr:row>8</xdr:row>
      <xdr:rowOff>58615</xdr:rowOff>
    </xdr:to>
    <xdr:sp macro="" textlink="">
      <xdr:nvSpPr>
        <xdr:cNvPr id="48" name="Rectangle 47">
          <a:extLst>
            <a:ext uri="{FF2B5EF4-FFF2-40B4-BE49-F238E27FC236}">
              <a16:creationId xmlns:a16="http://schemas.microsoft.com/office/drawing/2014/main" id="{00000000-0008-0000-0900-000030000000}"/>
            </a:ext>
          </a:extLst>
        </xdr:cNvPr>
        <xdr:cNvSpPr/>
      </xdr:nvSpPr>
      <xdr:spPr>
        <a:xfrm>
          <a:off x="2584939" y="3335215"/>
          <a:ext cx="480646" cy="298938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6</xdr:col>
      <xdr:colOff>416170</xdr:colOff>
      <xdr:row>7</xdr:row>
      <xdr:rowOff>99645</xdr:rowOff>
    </xdr:from>
    <xdr:to>
      <xdr:col>7</xdr:col>
      <xdr:colOff>439616</xdr:colOff>
      <xdr:row>8</xdr:row>
      <xdr:rowOff>52753</xdr:rowOff>
    </xdr:to>
    <xdr:sp macro="" textlink="">
      <xdr:nvSpPr>
        <xdr:cNvPr id="55" name="Rectangle 54">
          <a:extLst>
            <a:ext uri="{FF2B5EF4-FFF2-40B4-BE49-F238E27FC236}">
              <a16:creationId xmlns:a16="http://schemas.microsoft.com/office/drawing/2014/main" id="{00000000-0008-0000-0900-000037000000}"/>
            </a:ext>
          </a:extLst>
        </xdr:cNvPr>
        <xdr:cNvSpPr/>
      </xdr:nvSpPr>
      <xdr:spPr>
        <a:xfrm>
          <a:off x="3030416" y="3329353"/>
          <a:ext cx="480646" cy="298938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8</xdr:col>
      <xdr:colOff>1</xdr:colOff>
      <xdr:row>7</xdr:row>
      <xdr:rowOff>93784</xdr:rowOff>
    </xdr:from>
    <xdr:to>
      <xdr:col>9</xdr:col>
      <xdr:colOff>23447</xdr:colOff>
      <xdr:row>8</xdr:row>
      <xdr:rowOff>46892</xdr:rowOff>
    </xdr:to>
    <xdr:sp macro="" textlink="">
      <xdr:nvSpPr>
        <xdr:cNvPr id="56" name="Rectangle 55">
          <a:extLst>
            <a:ext uri="{FF2B5EF4-FFF2-40B4-BE49-F238E27FC236}">
              <a16:creationId xmlns:a16="http://schemas.microsoft.com/office/drawing/2014/main" id="{00000000-0008-0000-0900-000038000000}"/>
            </a:ext>
          </a:extLst>
        </xdr:cNvPr>
        <xdr:cNvSpPr/>
      </xdr:nvSpPr>
      <xdr:spPr>
        <a:xfrm>
          <a:off x="3528647" y="3323492"/>
          <a:ext cx="480646" cy="298938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8</xdr:col>
      <xdr:colOff>445478</xdr:colOff>
      <xdr:row>7</xdr:row>
      <xdr:rowOff>93784</xdr:rowOff>
    </xdr:from>
    <xdr:to>
      <xdr:col>10</xdr:col>
      <xdr:colOff>11724</xdr:colOff>
      <xdr:row>8</xdr:row>
      <xdr:rowOff>46892</xdr:rowOff>
    </xdr:to>
    <xdr:sp macro="" textlink="">
      <xdr:nvSpPr>
        <xdr:cNvPr id="59" name="Rectangle 58">
          <a:extLst>
            <a:ext uri="{FF2B5EF4-FFF2-40B4-BE49-F238E27FC236}">
              <a16:creationId xmlns:a16="http://schemas.microsoft.com/office/drawing/2014/main" id="{00000000-0008-0000-0900-00003B000000}"/>
            </a:ext>
          </a:extLst>
        </xdr:cNvPr>
        <xdr:cNvSpPr/>
      </xdr:nvSpPr>
      <xdr:spPr>
        <a:xfrm>
          <a:off x="3974124" y="3323492"/>
          <a:ext cx="480646" cy="298938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9</xdr:col>
      <xdr:colOff>427893</xdr:colOff>
      <xdr:row>7</xdr:row>
      <xdr:rowOff>93784</xdr:rowOff>
    </xdr:from>
    <xdr:to>
      <xdr:col>10</xdr:col>
      <xdr:colOff>451339</xdr:colOff>
      <xdr:row>8</xdr:row>
      <xdr:rowOff>46892</xdr:rowOff>
    </xdr:to>
    <xdr:sp macro="" textlink="">
      <xdr:nvSpPr>
        <xdr:cNvPr id="60" name="Rectangle 59">
          <a:extLst>
            <a:ext uri="{FF2B5EF4-FFF2-40B4-BE49-F238E27FC236}">
              <a16:creationId xmlns:a16="http://schemas.microsoft.com/office/drawing/2014/main" id="{00000000-0008-0000-0900-00003C000000}"/>
            </a:ext>
          </a:extLst>
        </xdr:cNvPr>
        <xdr:cNvSpPr/>
      </xdr:nvSpPr>
      <xdr:spPr>
        <a:xfrm>
          <a:off x="4413739" y="3323492"/>
          <a:ext cx="480646" cy="298938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13</xdr:col>
      <xdr:colOff>87922</xdr:colOff>
      <xdr:row>14</xdr:row>
      <xdr:rowOff>11723</xdr:rowOff>
    </xdr:from>
    <xdr:to>
      <xdr:col>15</xdr:col>
      <xdr:colOff>5860</xdr:colOff>
      <xdr:row>18</xdr:row>
      <xdr:rowOff>152400</xdr:rowOff>
    </xdr:to>
    <xdr:sp macro="" textlink="">
      <xdr:nvSpPr>
        <xdr:cNvPr id="65" name="Rectangle 64">
          <a:extLst>
            <a:ext uri="{FF2B5EF4-FFF2-40B4-BE49-F238E27FC236}">
              <a16:creationId xmlns:a16="http://schemas.microsoft.com/office/drawing/2014/main" id="{00000000-0008-0000-0900-000041000000}"/>
            </a:ext>
          </a:extLst>
        </xdr:cNvPr>
        <xdr:cNvSpPr/>
      </xdr:nvSpPr>
      <xdr:spPr>
        <a:xfrm>
          <a:off x="5902568" y="5251938"/>
          <a:ext cx="568569" cy="463062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</xdr:col>
      <xdr:colOff>5860</xdr:colOff>
      <xdr:row>14</xdr:row>
      <xdr:rowOff>17583</xdr:rowOff>
    </xdr:from>
    <xdr:to>
      <xdr:col>2</xdr:col>
      <xdr:colOff>375137</xdr:colOff>
      <xdr:row>18</xdr:row>
      <xdr:rowOff>158260</xdr:rowOff>
    </xdr:to>
    <xdr:sp macro="" textlink="">
      <xdr:nvSpPr>
        <xdr:cNvPr id="66" name="Rectangle 65">
          <a:extLst>
            <a:ext uri="{FF2B5EF4-FFF2-40B4-BE49-F238E27FC236}">
              <a16:creationId xmlns:a16="http://schemas.microsoft.com/office/drawing/2014/main" id="{00000000-0008-0000-0900-000042000000}"/>
            </a:ext>
          </a:extLst>
        </xdr:cNvPr>
        <xdr:cNvSpPr/>
      </xdr:nvSpPr>
      <xdr:spPr>
        <a:xfrm>
          <a:off x="592014" y="5257798"/>
          <a:ext cx="568569" cy="463062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13</xdr:col>
      <xdr:colOff>452511</xdr:colOff>
      <xdr:row>10</xdr:row>
      <xdr:rowOff>155331</xdr:rowOff>
    </xdr:from>
    <xdr:to>
      <xdr:col>15</xdr:col>
      <xdr:colOff>281356</xdr:colOff>
      <xdr:row>10</xdr:row>
      <xdr:rowOff>246187</xdr:rowOff>
    </xdr:to>
    <xdr:cxnSp macro="">
      <xdr:nvCxnSpPr>
        <xdr:cNvPr id="151" name="Connector: Curved 150">
          <a:extLst>
            <a:ext uri="{FF2B5EF4-FFF2-40B4-BE49-F238E27FC236}">
              <a16:creationId xmlns:a16="http://schemas.microsoft.com/office/drawing/2014/main" id="{00000000-0008-0000-0900-000097000000}"/>
            </a:ext>
          </a:extLst>
        </xdr:cNvPr>
        <xdr:cNvCxnSpPr>
          <a:endCxn id="25" idx="3"/>
        </xdr:cNvCxnSpPr>
      </xdr:nvCxnSpPr>
      <xdr:spPr>
        <a:xfrm rot="10800000">
          <a:off x="6267157" y="4645269"/>
          <a:ext cx="479476" cy="90856"/>
        </a:xfrm>
        <a:prstGeom prst="curvedConnector3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404954</xdr:colOff>
      <xdr:row>9</xdr:row>
      <xdr:rowOff>152400</xdr:rowOff>
    </xdr:from>
    <xdr:to>
      <xdr:col>15</xdr:col>
      <xdr:colOff>12123</xdr:colOff>
      <xdr:row>9</xdr:row>
      <xdr:rowOff>301868</xdr:rowOff>
    </xdr:to>
    <xdr:cxnSp macro="">
      <xdr:nvCxnSpPr>
        <xdr:cNvPr id="5" name="Connector: Curved 4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CxnSpPr/>
      </xdr:nvCxnSpPr>
      <xdr:spPr>
        <a:xfrm rot="10800000" flipV="1">
          <a:off x="5669681" y="3373582"/>
          <a:ext cx="689556" cy="149468"/>
        </a:xfrm>
        <a:prstGeom prst="curvedConnector3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449982</xdr:colOff>
      <xdr:row>8</xdr:row>
      <xdr:rowOff>213015</xdr:rowOff>
    </xdr:from>
    <xdr:to>
      <xdr:col>15</xdr:col>
      <xdr:colOff>36369</xdr:colOff>
      <xdr:row>8</xdr:row>
      <xdr:rowOff>397117</xdr:rowOff>
    </xdr:to>
    <xdr:cxnSp macro="">
      <xdr:nvCxnSpPr>
        <xdr:cNvPr id="11" name="Connector: Curved 10">
          <a:extLst>
            <a:ext uri="{FF2B5EF4-FFF2-40B4-BE49-F238E27FC236}">
              <a16:creationId xmlns:a16="http://schemas.microsoft.com/office/drawing/2014/main" id="{00000000-0008-0000-0900-00000B000000}"/>
            </a:ext>
          </a:extLst>
        </xdr:cNvPr>
        <xdr:cNvCxnSpPr/>
      </xdr:nvCxnSpPr>
      <xdr:spPr>
        <a:xfrm rot="10800000" flipV="1">
          <a:off x="5714709" y="2957947"/>
          <a:ext cx="668774" cy="184102"/>
        </a:xfrm>
        <a:prstGeom prst="curvedConnector3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48200</xdr:colOff>
      <xdr:row>7</xdr:row>
      <xdr:rowOff>254575</xdr:rowOff>
    </xdr:from>
    <xdr:to>
      <xdr:col>13</xdr:col>
      <xdr:colOff>313459</xdr:colOff>
      <xdr:row>7</xdr:row>
      <xdr:rowOff>300134</xdr:rowOff>
    </xdr:to>
    <xdr:cxnSp macro="">
      <xdr:nvCxnSpPr>
        <xdr:cNvPr id="20" name="Connector: Curved 19">
          <a:extLst>
            <a:ext uri="{FF2B5EF4-FFF2-40B4-BE49-F238E27FC236}">
              <a16:creationId xmlns:a16="http://schemas.microsoft.com/office/drawing/2014/main" id="{00000000-0008-0000-0900-000014000000}"/>
            </a:ext>
          </a:extLst>
        </xdr:cNvPr>
        <xdr:cNvCxnSpPr/>
      </xdr:nvCxnSpPr>
      <xdr:spPr>
        <a:xfrm rot="10800000" flipV="1">
          <a:off x="5312927" y="2653143"/>
          <a:ext cx="715532" cy="45559"/>
        </a:xfrm>
        <a:prstGeom prst="curvedConnector3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193964</xdr:colOff>
      <xdr:row>9</xdr:row>
      <xdr:rowOff>436418</xdr:rowOff>
    </xdr:from>
    <xdr:to>
      <xdr:col>13</xdr:col>
      <xdr:colOff>443346</xdr:colOff>
      <xdr:row>9</xdr:row>
      <xdr:rowOff>436418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CxnSpPr/>
      </xdr:nvCxnSpPr>
      <xdr:spPr>
        <a:xfrm>
          <a:off x="782782" y="3643745"/>
          <a:ext cx="5479473" cy="0"/>
        </a:xfrm>
        <a:prstGeom prst="line">
          <a:avLst/>
        </a:prstGeom>
        <a:ln w="571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27708</xdr:colOff>
      <xdr:row>9</xdr:row>
      <xdr:rowOff>290945</xdr:rowOff>
    </xdr:from>
    <xdr:to>
      <xdr:col>15</xdr:col>
      <xdr:colOff>1413163</xdr:colOff>
      <xdr:row>10</xdr:row>
      <xdr:rowOff>131618</xdr:rowOff>
    </xdr:to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900-00001A000000}"/>
            </a:ext>
          </a:extLst>
        </xdr:cNvPr>
        <xdr:cNvSpPr txBox="1"/>
      </xdr:nvSpPr>
      <xdr:spPr>
        <a:xfrm>
          <a:off x="6497781" y="3498272"/>
          <a:ext cx="1385455" cy="29787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IN" sz="1100"/>
        </a:p>
      </xdr:txBody>
    </xdr:sp>
    <xdr:clientData/>
  </xdr:twoCellAnchor>
  <xdr:twoCellAnchor>
    <xdr:from>
      <xdr:col>19</xdr:col>
      <xdr:colOff>260039</xdr:colOff>
      <xdr:row>19</xdr:row>
      <xdr:rowOff>136679</xdr:rowOff>
    </xdr:from>
    <xdr:to>
      <xdr:col>20</xdr:col>
      <xdr:colOff>127622</xdr:colOff>
      <xdr:row>21</xdr:row>
      <xdr:rowOff>69272</xdr:rowOff>
    </xdr:to>
    <xdr:sp macro="" textlink="">
      <xdr:nvSpPr>
        <xdr:cNvPr id="89" name="Rectangle 88">
          <a:extLst>
            <a:ext uri="{FF2B5EF4-FFF2-40B4-BE49-F238E27FC236}">
              <a16:creationId xmlns:a16="http://schemas.microsoft.com/office/drawing/2014/main" id="{00000000-0008-0000-0900-000059000000}"/>
            </a:ext>
          </a:extLst>
        </xdr:cNvPr>
        <xdr:cNvSpPr/>
      </xdr:nvSpPr>
      <xdr:spPr>
        <a:xfrm>
          <a:off x="11222448" y="5098338"/>
          <a:ext cx="473719" cy="313593"/>
        </a:xfrm>
        <a:prstGeom prst="rect">
          <a:avLst/>
        </a:prstGeom>
        <a:solidFill>
          <a:schemeClr val="bg1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3</xdr:col>
      <xdr:colOff>398317</xdr:colOff>
      <xdr:row>7</xdr:row>
      <xdr:rowOff>103909</xdr:rowOff>
    </xdr:from>
    <xdr:to>
      <xdr:col>4</xdr:col>
      <xdr:colOff>414837</xdr:colOff>
      <xdr:row>8</xdr:row>
      <xdr:rowOff>57017</xdr:rowOff>
    </xdr:to>
    <xdr:sp macro="" textlink="">
      <xdr:nvSpPr>
        <xdr:cNvPr id="99" name="Rectangle 98">
          <a:extLst>
            <a:ext uri="{FF2B5EF4-FFF2-40B4-BE49-F238E27FC236}">
              <a16:creationId xmlns:a16="http://schemas.microsoft.com/office/drawing/2014/main" id="{00000000-0008-0000-0900-000063000000}"/>
            </a:ext>
          </a:extLst>
        </xdr:cNvPr>
        <xdr:cNvSpPr/>
      </xdr:nvSpPr>
      <xdr:spPr>
        <a:xfrm>
          <a:off x="1610590" y="2502477"/>
          <a:ext cx="466792" cy="299472"/>
        </a:xfrm>
        <a:prstGeom prst="rect">
          <a:avLst/>
        </a:prstGeom>
        <a:solidFill>
          <a:srgbClr val="1F497D">
            <a:lumMod val="40000"/>
            <a:lumOff val="60000"/>
          </a:srgbClr>
        </a:solidFill>
        <a:ln w="25400" cap="flat" cmpd="sng" algn="ctr">
          <a:solidFill>
            <a:srgbClr val="4F81BD">
              <a:shade val="15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IN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11</xdr:col>
      <xdr:colOff>6261</xdr:colOff>
      <xdr:row>7</xdr:row>
      <xdr:rowOff>119628</xdr:rowOff>
    </xdr:from>
    <xdr:to>
      <xdr:col>12</xdr:col>
      <xdr:colOff>22781</xdr:colOff>
      <xdr:row>8</xdr:row>
      <xdr:rowOff>72736</xdr:rowOff>
    </xdr:to>
    <xdr:sp macro="" textlink="">
      <xdr:nvSpPr>
        <xdr:cNvPr id="110" name="Rectangle 109">
          <a:extLst>
            <a:ext uri="{FF2B5EF4-FFF2-40B4-BE49-F238E27FC236}">
              <a16:creationId xmlns:a16="http://schemas.microsoft.com/office/drawing/2014/main" id="{00000000-0008-0000-0900-00006E000000}"/>
            </a:ext>
          </a:extLst>
        </xdr:cNvPr>
        <xdr:cNvSpPr/>
      </xdr:nvSpPr>
      <xdr:spPr>
        <a:xfrm>
          <a:off x="4820716" y="2518196"/>
          <a:ext cx="466792" cy="299472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3</xdr:col>
      <xdr:colOff>398318</xdr:colOff>
      <xdr:row>6</xdr:row>
      <xdr:rowOff>155862</xdr:rowOff>
    </xdr:from>
    <xdr:to>
      <xdr:col>4</xdr:col>
      <xdr:colOff>414838</xdr:colOff>
      <xdr:row>7</xdr:row>
      <xdr:rowOff>100312</xdr:rowOff>
    </xdr:to>
    <xdr:sp macro="" textlink="">
      <xdr:nvSpPr>
        <xdr:cNvPr id="111" name="Rectangle 110">
          <a:extLst>
            <a:ext uri="{FF2B5EF4-FFF2-40B4-BE49-F238E27FC236}">
              <a16:creationId xmlns:a16="http://schemas.microsoft.com/office/drawing/2014/main" id="{00000000-0008-0000-0900-00006F000000}"/>
            </a:ext>
          </a:extLst>
        </xdr:cNvPr>
        <xdr:cNvSpPr/>
      </xdr:nvSpPr>
      <xdr:spPr>
        <a:xfrm>
          <a:off x="1610591" y="2208067"/>
          <a:ext cx="466792" cy="290813"/>
        </a:xfrm>
        <a:prstGeom prst="rect">
          <a:avLst/>
        </a:prstGeom>
        <a:solidFill>
          <a:srgbClr val="1F497D">
            <a:lumMod val="40000"/>
            <a:lumOff val="60000"/>
          </a:srgbClr>
        </a:solidFill>
        <a:ln w="25400" cap="flat" cmpd="sng" algn="ctr">
          <a:solidFill>
            <a:srgbClr val="4F81BD">
              <a:shade val="15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IN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4</xdr:col>
      <xdr:colOff>432955</xdr:colOff>
      <xdr:row>6</xdr:row>
      <xdr:rowOff>155864</xdr:rowOff>
    </xdr:from>
    <xdr:to>
      <xdr:col>5</xdr:col>
      <xdr:colOff>424296</xdr:colOff>
      <xdr:row>7</xdr:row>
      <xdr:rowOff>108973</xdr:rowOff>
    </xdr:to>
    <xdr:sp macro="" textlink="">
      <xdr:nvSpPr>
        <xdr:cNvPr id="112" name="Rectangle 111">
          <a:extLst>
            <a:ext uri="{FF2B5EF4-FFF2-40B4-BE49-F238E27FC236}">
              <a16:creationId xmlns:a16="http://schemas.microsoft.com/office/drawing/2014/main" id="{00000000-0008-0000-0900-000070000000}"/>
            </a:ext>
          </a:extLst>
        </xdr:cNvPr>
        <xdr:cNvSpPr/>
      </xdr:nvSpPr>
      <xdr:spPr>
        <a:xfrm>
          <a:off x="2095500" y="2208069"/>
          <a:ext cx="441614" cy="299472"/>
        </a:xfrm>
        <a:prstGeom prst="rect">
          <a:avLst/>
        </a:prstGeom>
        <a:solidFill>
          <a:srgbClr val="1F497D">
            <a:lumMod val="40000"/>
            <a:lumOff val="60000"/>
          </a:srgbClr>
        </a:solidFill>
        <a:ln w="25400" cap="flat" cmpd="sng" algn="ctr">
          <a:solidFill>
            <a:srgbClr val="4F81BD">
              <a:shade val="15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IN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5</xdr:col>
      <xdr:colOff>424294</xdr:colOff>
      <xdr:row>6</xdr:row>
      <xdr:rowOff>155864</xdr:rowOff>
    </xdr:from>
    <xdr:to>
      <xdr:col>6</xdr:col>
      <xdr:colOff>440813</xdr:colOff>
      <xdr:row>7</xdr:row>
      <xdr:rowOff>108973</xdr:rowOff>
    </xdr:to>
    <xdr:sp macro="" textlink="">
      <xdr:nvSpPr>
        <xdr:cNvPr id="113" name="Rectangle 112">
          <a:extLst>
            <a:ext uri="{FF2B5EF4-FFF2-40B4-BE49-F238E27FC236}">
              <a16:creationId xmlns:a16="http://schemas.microsoft.com/office/drawing/2014/main" id="{00000000-0008-0000-0900-000071000000}"/>
            </a:ext>
          </a:extLst>
        </xdr:cNvPr>
        <xdr:cNvSpPr/>
      </xdr:nvSpPr>
      <xdr:spPr>
        <a:xfrm>
          <a:off x="2537112" y="2208069"/>
          <a:ext cx="466792" cy="299472"/>
        </a:xfrm>
        <a:prstGeom prst="rect">
          <a:avLst/>
        </a:prstGeom>
        <a:solidFill>
          <a:srgbClr val="1F497D">
            <a:lumMod val="40000"/>
            <a:lumOff val="60000"/>
          </a:srgbClr>
        </a:solidFill>
        <a:ln w="25400" cap="flat" cmpd="sng" algn="ctr">
          <a:solidFill>
            <a:srgbClr val="4F81BD">
              <a:shade val="15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IN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6</xdr:col>
      <xdr:colOff>432954</xdr:colOff>
      <xdr:row>6</xdr:row>
      <xdr:rowOff>147204</xdr:rowOff>
    </xdr:from>
    <xdr:to>
      <xdr:col>7</xdr:col>
      <xdr:colOff>449473</xdr:colOff>
      <xdr:row>7</xdr:row>
      <xdr:rowOff>100313</xdr:rowOff>
    </xdr:to>
    <xdr:sp macro="" textlink="">
      <xdr:nvSpPr>
        <xdr:cNvPr id="115" name="Rectangle 114">
          <a:extLst>
            <a:ext uri="{FF2B5EF4-FFF2-40B4-BE49-F238E27FC236}">
              <a16:creationId xmlns:a16="http://schemas.microsoft.com/office/drawing/2014/main" id="{00000000-0008-0000-0900-000073000000}"/>
            </a:ext>
          </a:extLst>
        </xdr:cNvPr>
        <xdr:cNvSpPr/>
      </xdr:nvSpPr>
      <xdr:spPr>
        <a:xfrm>
          <a:off x="2996045" y="2199409"/>
          <a:ext cx="466792" cy="299472"/>
        </a:xfrm>
        <a:prstGeom prst="rect">
          <a:avLst/>
        </a:prstGeom>
        <a:solidFill>
          <a:srgbClr val="1F497D">
            <a:lumMod val="40000"/>
            <a:lumOff val="60000"/>
          </a:srgbClr>
        </a:solidFill>
        <a:ln w="25400" cap="flat" cmpd="sng" algn="ctr">
          <a:solidFill>
            <a:srgbClr val="4F81BD">
              <a:shade val="15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IN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8</xdr:col>
      <xdr:colOff>25977</xdr:colOff>
      <xdr:row>6</xdr:row>
      <xdr:rowOff>147203</xdr:rowOff>
    </xdr:from>
    <xdr:to>
      <xdr:col>9</xdr:col>
      <xdr:colOff>0</xdr:colOff>
      <xdr:row>7</xdr:row>
      <xdr:rowOff>74335</xdr:rowOff>
    </xdr:to>
    <xdr:sp macro="" textlink="">
      <xdr:nvSpPr>
        <xdr:cNvPr id="116" name="Rectangle 115">
          <a:extLst>
            <a:ext uri="{FF2B5EF4-FFF2-40B4-BE49-F238E27FC236}">
              <a16:creationId xmlns:a16="http://schemas.microsoft.com/office/drawing/2014/main" id="{00000000-0008-0000-0900-000074000000}"/>
            </a:ext>
          </a:extLst>
        </xdr:cNvPr>
        <xdr:cNvSpPr/>
      </xdr:nvSpPr>
      <xdr:spPr>
        <a:xfrm>
          <a:off x="3489613" y="2199408"/>
          <a:ext cx="424296" cy="273495"/>
        </a:xfrm>
        <a:prstGeom prst="rect">
          <a:avLst/>
        </a:prstGeom>
        <a:solidFill>
          <a:srgbClr val="1F497D">
            <a:lumMod val="40000"/>
            <a:lumOff val="60000"/>
          </a:srgbClr>
        </a:solidFill>
        <a:ln w="25400" cap="flat" cmpd="sng" algn="ctr">
          <a:solidFill>
            <a:srgbClr val="4F81BD">
              <a:shade val="15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IN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9</xdr:col>
      <xdr:colOff>17318</xdr:colOff>
      <xdr:row>6</xdr:row>
      <xdr:rowOff>164523</xdr:rowOff>
    </xdr:from>
    <xdr:to>
      <xdr:col>9</xdr:col>
      <xdr:colOff>441614</xdr:colOff>
      <xdr:row>7</xdr:row>
      <xdr:rowOff>117632</xdr:rowOff>
    </xdr:to>
    <xdr:sp macro="" textlink="">
      <xdr:nvSpPr>
        <xdr:cNvPr id="117" name="Rectangle 116">
          <a:extLst>
            <a:ext uri="{FF2B5EF4-FFF2-40B4-BE49-F238E27FC236}">
              <a16:creationId xmlns:a16="http://schemas.microsoft.com/office/drawing/2014/main" id="{00000000-0008-0000-0900-000075000000}"/>
            </a:ext>
          </a:extLst>
        </xdr:cNvPr>
        <xdr:cNvSpPr/>
      </xdr:nvSpPr>
      <xdr:spPr>
        <a:xfrm>
          <a:off x="3931227" y="2216728"/>
          <a:ext cx="424296" cy="299472"/>
        </a:xfrm>
        <a:prstGeom prst="rect">
          <a:avLst/>
        </a:prstGeom>
        <a:solidFill>
          <a:srgbClr val="1F497D">
            <a:lumMod val="40000"/>
            <a:lumOff val="60000"/>
          </a:srgbClr>
        </a:solidFill>
        <a:ln w="25400" cap="flat" cmpd="sng" algn="ctr">
          <a:solidFill>
            <a:srgbClr val="4F81BD">
              <a:shade val="15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IN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10</xdr:col>
      <xdr:colOff>0</xdr:colOff>
      <xdr:row>6</xdr:row>
      <xdr:rowOff>164522</xdr:rowOff>
    </xdr:from>
    <xdr:to>
      <xdr:col>11</xdr:col>
      <xdr:colOff>16519</xdr:colOff>
      <xdr:row>7</xdr:row>
      <xdr:rowOff>117631</xdr:rowOff>
    </xdr:to>
    <xdr:sp macro="" textlink="">
      <xdr:nvSpPr>
        <xdr:cNvPr id="118" name="Rectangle 117">
          <a:extLst>
            <a:ext uri="{FF2B5EF4-FFF2-40B4-BE49-F238E27FC236}">
              <a16:creationId xmlns:a16="http://schemas.microsoft.com/office/drawing/2014/main" id="{00000000-0008-0000-0900-000076000000}"/>
            </a:ext>
          </a:extLst>
        </xdr:cNvPr>
        <xdr:cNvSpPr/>
      </xdr:nvSpPr>
      <xdr:spPr>
        <a:xfrm>
          <a:off x="4364182" y="2216727"/>
          <a:ext cx="466792" cy="299472"/>
        </a:xfrm>
        <a:prstGeom prst="rect">
          <a:avLst/>
        </a:prstGeom>
        <a:solidFill>
          <a:srgbClr val="1F497D">
            <a:lumMod val="40000"/>
            <a:lumOff val="60000"/>
          </a:srgbClr>
        </a:solidFill>
        <a:ln w="25400" cap="flat" cmpd="sng" algn="ctr">
          <a:solidFill>
            <a:srgbClr val="4F81BD">
              <a:shade val="15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IN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11</xdr:col>
      <xdr:colOff>34637</xdr:colOff>
      <xdr:row>6</xdr:row>
      <xdr:rowOff>173182</xdr:rowOff>
    </xdr:from>
    <xdr:to>
      <xdr:col>12</xdr:col>
      <xdr:colOff>34638</xdr:colOff>
      <xdr:row>7</xdr:row>
      <xdr:rowOff>126291</xdr:rowOff>
    </xdr:to>
    <xdr:sp macro="" textlink="">
      <xdr:nvSpPr>
        <xdr:cNvPr id="119" name="Rectangle 118">
          <a:extLst>
            <a:ext uri="{FF2B5EF4-FFF2-40B4-BE49-F238E27FC236}">
              <a16:creationId xmlns:a16="http://schemas.microsoft.com/office/drawing/2014/main" id="{00000000-0008-0000-0900-000077000000}"/>
            </a:ext>
          </a:extLst>
        </xdr:cNvPr>
        <xdr:cNvSpPr/>
      </xdr:nvSpPr>
      <xdr:spPr>
        <a:xfrm>
          <a:off x="4849092" y="2225387"/>
          <a:ext cx="450273" cy="299472"/>
        </a:xfrm>
        <a:prstGeom prst="rect">
          <a:avLst/>
        </a:prstGeom>
        <a:solidFill>
          <a:srgbClr val="1F497D">
            <a:lumMod val="40000"/>
            <a:lumOff val="60000"/>
          </a:srgbClr>
        </a:solidFill>
        <a:ln w="25400" cap="flat" cmpd="sng" algn="ctr">
          <a:solidFill>
            <a:srgbClr val="4F81BD">
              <a:shade val="15000"/>
            </a:srgbClr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IN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alibri" panose="020F0502020204030204"/>
          </a:endParaRPr>
        </a:p>
      </xdr:txBody>
    </xdr:sp>
    <xdr:clientData/>
  </xdr:twoCellAnchor>
  <xdr:twoCellAnchor>
    <xdr:from>
      <xdr:col>12</xdr:col>
      <xdr:colOff>17318</xdr:colOff>
      <xdr:row>6</xdr:row>
      <xdr:rowOff>251113</xdr:rowOff>
    </xdr:from>
    <xdr:to>
      <xdr:col>13</xdr:col>
      <xdr:colOff>282577</xdr:colOff>
      <xdr:row>6</xdr:row>
      <xdr:rowOff>296672</xdr:rowOff>
    </xdr:to>
    <xdr:cxnSp macro="">
      <xdr:nvCxnSpPr>
        <xdr:cNvPr id="120" name="Connector: Curved 19">
          <a:extLst>
            <a:ext uri="{FF2B5EF4-FFF2-40B4-BE49-F238E27FC236}">
              <a16:creationId xmlns:a16="http://schemas.microsoft.com/office/drawing/2014/main" id="{00000000-0008-0000-0900-000078000000}"/>
            </a:ext>
          </a:extLst>
        </xdr:cNvPr>
        <xdr:cNvCxnSpPr/>
      </xdr:nvCxnSpPr>
      <xdr:spPr>
        <a:xfrm rot="10800000" flipV="1">
          <a:off x="5282045" y="2303318"/>
          <a:ext cx="715532" cy="45559"/>
        </a:xfrm>
        <a:prstGeom prst="curvedConnector3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  <a:tailEnd type="triangle"/>
        </a:ln>
        <a:effectLst/>
      </xdr:spPr>
    </xdr:cxnSp>
    <xdr:clientData/>
  </xdr:twoCellAnchor>
  <xdr:twoCellAnchor>
    <xdr:from>
      <xdr:col>0</xdr:col>
      <xdr:colOff>562841</xdr:colOff>
      <xdr:row>6</xdr:row>
      <xdr:rowOff>129885</xdr:rowOff>
    </xdr:from>
    <xdr:to>
      <xdr:col>1</xdr:col>
      <xdr:colOff>8659</xdr:colOff>
      <xdr:row>10</xdr:row>
      <xdr:rowOff>25978</xdr:rowOff>
    </xdr:to>
    <xdr:cxnSp macro="">
      <xdr:nvCxnSpPr>
        <xdr:cNvPr id="17" name="Straight Arrow Connector 16">
          <a:extLst>
            <a:ext uri="{FF2B5EF4-FFF2-40B4-BE49-F238E27FC236}">
              <a16:creationId xmlns:a16="http://schemas.microsoft.com/office/drawing/2014/main" id="{00000000-0008-0000-0900-000011000000}"/>
            </a:ext>
          </a:extLst>
        </xdr:cNvPr>
        <xdr:cNvCxnSpPr/>
      </xdr:nvCxnSpPr>
      <xdr:spPr>
        <a:xfrm flipH="1" flipV="1">
          <a:off x="562841" y="2182090"/>
          <a:ext cx="17318" cy="152400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205740</xdr:colOff>
      <xdr:row>8</xdr:row>
      <xdr:rowOff>13335</xdr:rowOff>
    </xdr:from>
    <xdr:to>
      <xdr:col>1</xdr:col>
      <xdr:colOff>403860</xdr:colOff>
      <xdr:row>8</xdr:row>
      <xdr:rowOff>220980</xdr:rowOff>
    </xdr:to>
    <xdr:sp macro="" textlink="">
      <xdr:nvSpPr>
        <xdr:cNvPr id="10" name="Oval 9">
          <a:extLst>
            <a:ext uri="{FF2B5EF4-FFF2-40B4-BE49-F238E27FC236}">
              <a16:creationId xmlns:a16="http://schemas.microsoft.com/office/drawing/2014/main" id="{00000000-0008-0000-0A00-00000A000000}"/>
            </a:ext>
          </a:extLst>
        </xdr:cNvPr>
        <xdr:cNvSpPr/>
      </xdr:nvSpPr>
      <xdr:spPr>
        <a:xfrm>
          <a:off x="815340" y="3442335"/>
          <a:ext cx="198120" cy="207645"/>
        </a:xfrm>
        <a:prstGeom prst="ellipse">
          <a:avLst/>
        </a:prstGeom>
        <a:solidFill>
          <a:schemeClr val="tx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</xdr:col>
      <xdr:colOff>360045</xdr:colOff>
      <xdr:row>8</xdr:row>
      <xdr:rowOff>228600</xdr:rowOff>
    </xdr:from>
    <xdr:to>
      <xdr:col>2</xdr:col>
      <xdr:colOff>85725</xdr:colOff>
      <xdr:row>10</xdr:row>
      <xdr:rowOff>228600</xdr:rowOff>
    </xdr:to>
    <xdr:cxnSp macro="">
      <xdr:nvCxnSpPr>
        <xdr:cNvPr id="11" name="Straight Arrow Connector 10">
          <a:extLst>
            <a:ext uri="{FF2B5EF4-FFF2-40B4-BE49-F238E27FC236}">
              <a16:creationId xmlns:a16="http://schemas.microsoft.com/office/drawing/2014/main" id="{00000000-0008-0000-0A00-00000B000000}"/>
            </a:ext>
          </a:extLst>
        </xdr:cNvPr>
        <xdr:cNvCxnSpPr/>
      </xdr:nvCxnSpPr>
      <xdr:spPr>
        <a:xfrm flipH="1" flipV="1">
          <a:off x="969645" y="3657600"/>
          <a:ext cx="335280" cy="49530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571500</xdr:colOff>
      <xdr:row>3</xdr:row>
      <xdr:rowOff>238125</xdr:rowOff>
    </xdr:from>
    <xdr:to>
      <xdr:col>15</xdr:col>
      <xdr:colOff>457200</xdr:colOff>
      <xdr:row>4</xdr:row>
      <xdr:rowOff>0</xdr:rowOff>
    </xdr:to>
    <xdr:cxnSp macro="">
      <xdr:nvCxnSpPr>
        <xdr:cNvPr id="6" name="Straight Arrow Connector 5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CxnSpPr/>
      </xdr:nvCxnSpPr>
      <xdr:spPr>
        <a:xfrm>
          <a:off x="7734300" y="2686050"/>
          <a:ext cx="742950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533400</xdr:colOff>
      <xdr:row>4</xdr:row>
      <xdr:rowOff>66675</xdr:rowOff>
    </xdr:from>
    <xdr:to>
      <xdr:col>3</xdr:col>
      <xdr:colOff>133350</xdr:colOff>
      <xdr:row>4</xdr:row>
      <xdr:rowOff>66675</xdr:rowOff>
    </xdr:to>
    <xdr:cxnSp macro="">
      <xdr:nvCxnSpPr>
        <xdr:cNvPr id="13" name="Straight Arrow Connector 12">
          <a:extLst>
            <a:ext uri="{FF2B5EF4-FFF2-40B4-BE49-F238E27FC236}">
              <a16:creationId xmlns:a16="http://schemas.microsoft.com/office/drawing/2014/main" id="{00000000-0008-0000-0A00-00000D000000}"/>
            </a:ext>
          </a:extLst>
        </xdr:cNvPr>
        <xdr:cNvCxnSpPr/>
      </xdr:nvCxnSpPr>
      <xdr:spPr>
        <a:xfrm flipH="1">
          <a:off x="1143000" y="2762250"/>
          <a:ext cx="5619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18</xdr:row>
      <xdr:rowOff>185057</xdr:rowOff>
    </xdr:from>
    <xdr:to>
      <xdr:col>8</xdr:col>
      <xdr:colOff>5443</xdr:colOff>
      <xdr:row>18</xdr:row>
      <xdr:rowOff>185057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CxnSpPr/>
      </xdr:nvCxnSpPr>
      <xdr:spPr>
        <a:xfrm>
          <a:off x="1501140" y="3827417"/>
          <a:ext cx="1575163" cy="0"/>
        </a:xfrm>
        <a:prstGeom prst="straightConnector1">
          <a:avLst/>
        </a:prstGeom>
        <a:ln>
          <a:solidFill>
            <a:schemeClr val="tx1"/>
          </a:solidFill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AI115"/>
  <sheetViews>
    <sheetView tabSelected="1" view="pageBreakPreview" topLeftCell="A20" zoomScale="92" zoomScaleNormal="100" zoomScaleSheetLayoutView="92" workbookViewId="0">
      <selection activeCell="A98" sqref="A98:G105"/>
    </sheetView>
  </sheetViews>
  <sheetFormatPr defaultColWidth="8.85546875" defaultRowHeight="15.75" x14ac:dyDescent="0.25"/>
  <cols>
    <col min="1" max="1" width="6.42578125" style="15" customWidth="1"/>
    <col min="2" max="2" width="16.28515625" style="15" customWidth="1"/>
    <col min="3" max="3" width="44.42578125" style="15" customWidth="1"/>
    <col min="4" max="4" width="9.5703125" style="15" customWidth="1"/>
    <col min="5" max="6" width="9.5703125" style="55" customWidth="1"/>
    <col min="7" max="7" width="9.5703125" style="15" customWidth="1"/>
    <col min="8" max="8" width="16.28515625" style="15" customWidth="1"/>
    <col min="9" max="9" width="15.28515625" style="15" customWidth="1"/>
    <col min="10" max="10" width="8.85546875" style="15"/>
    <col min="11" max="11" width="14" style="15" customWidth="1"/>
    <col min="12" max="12" width="27.28515625" style="15" customWidth="1"/>
    <col min="13" max="13" width="14.140625" style="15" bestFit="1" customWidth="1"/>
    <col min="14" max="15" width="8.85546875" style="15"/>
    <col min="16" max="16" width="19.28515625" style="15" bestFit="1" customWidth="1"/>
    <col min="17" max="16384" width="8.85546875" style="15"/>
  </cols>
  <sheetData>
    <row r="1" spans="1:18" ht="21" customHeight="1" x14ac:dyDescent="0.25">
      <c r="A1" s="426" t="s">
        <v>33</v>
      </c>
      <c r="B1" s="426"/>
      <c r="C1" s="426"/>
      <c r="D1" s="426"/>
      <c r="E1" s="426"/>
      <c r="F1" s="426"/>
      <c r="G1" s="426"/>
      <c r="H1" s="145"/>
    </row>
    <row r="2" spans="1:18" ht="21" customHeight="1" x14ac:dyDescent="0.25">
      <c r="A2" s="426" t="s">
        <v>411</v>
      </c>
      <c r="B2" s="426"/>
      <c r="C2" s="426"/>
      <c r="D2" s="426"/>
      <c r="E2" s="426"/>
      <c r="F2" s="426"/>
      <c r="G2" s="426"/>
      <c r="H2" s="145"/>
      <c r="O2" s="15">
        <v>19960.5</v>
      </c>
      <c r="P2" s="52">
        <f>O2-$D$8</f>
        <v>19644.878000000001</v>
      </c>
    </row>
    <row r="3" spans="1:18" ht="37.9" customHeight="1" x14ac:dyDescent="0.25">
      <c r="A3" s="427" t="s">
        <v>97</v>
      </c>
      <c r="B3" s="427"/>
      <c r="C3" s="428" t="s">
        <v>488</v>
      </c>
      <c r="D3" s="428"/>
      <c r="E3" s="428"/>
      <c r="F3" s="428"/>
      <c r="G3" s="428"/>
      <c r="H3" s="147"/>
      <c r="J3" s="15">
        <v>1378</v>
      </c>
      <c r="M3" s="15">
        <f>51.36-5</f>
        <v>46.36</v>
      </c>
      <c r="O3" s="15">
        <v>19971.5</v>
      </c>
      <c r="P3" s="52">
        <f>O3-$D$8</f>
        <v>19655.878000000001</v>
      </c>
    </row>
    <row r="4" spans="1:18" ht="25.9" customHeight="1" x14ac:dyDescent="0.25">
      <c r="A4" s="2" t="s">
        <v>38</v>
      </c>
      <c r="B4" s="2" t="s">
        <v>279</v>
      </c>
      <c r="C4" s="2" t="s">
        <v>39</v>
      </c>
      <c r="D4" s="383" t="s">
        <v>280</v>
      </c>
      <c r="E4" s="383"/>
      <c r="F4" s="383"/>
      <c r="G4" s="383"/>
      <c r="H4" s="148"/>
      <c r="J4" s="15">
        <v>1627.25</v>
      </c>
      <c r="K4" s="15">
        <f>J3-J4</f>
        <v>-249.25</v>
      </c>
    </row>
    <row r="5" spans="1:18" ht="49.15" customHeight="1" x14ac:dyDescent="0.25">
      <c r="A5" s="223">
        <v>1</v>
      </c>
      <c r="B5" s="379" t="s">
        <v>0</v>
      </c>
      <c r="C5" s="3" t="s">
        <v>1</v>
      </c>
      <c r="D5" s="416" t="s">
        <v>468</v>
      </c>
      <c r="E5" s="416"/>
      <c r="F5" s="416"/>
      <c r="G5" s="416"/>
      <c r="H5" s="149"/>
      <c r="I5" s="136" t="s">
        <v>396</v>
      </c>
    </row>
    <row r="6" spans="1:18" ht="27" customHeight="1" x14ac:dyDescent="0.25">
      <c r="A6" s="223">
        <v>2</v>
      </c>
      <c r="B6" s="379"/>
      <c r="C6" s="3" t="s">
        <v>94</v>
      </c>
      <c r="D6" s="416" t="s">
        <v>469</v>
      </c>
      <c r="E6" s="416"/>
      <c r="F6" s="416"/>
      <c r="G6" s="416"/>
      <c r="H6" s="149"/>
      <c r="I6" s="15" t="s">
        <v>465</v>
      </c>
      <c r="K6" s="212">
        <f>F36</f>
        <v>67.47</v>
      </c>
      <c r="L6" s="15" t="s">
        <v>467</v>
      </c>
      <c r="M6" s="212">
        <f>K6-K7</f>
        <v>65.137</v>
      </c>
      <c r="O6" s="15">
        <f>50.28-32</f>
        <v>18.28</v>
      </c>
    </row>
    <row r="7" spans="1:18" ht="27" customHeight="1" x14ac:dyDescent="0.25">
      <c r="A7" s="223">
        <v>3</v>
      </c>
      <c r="B7" s="379"/>
      <c r="C7" s="3" t="s">
        <v>95</v>
      </c>
      <c r="D7" s="416" t="s">
        <v>470</v>
      </c>
      <c r="E7" s="416"/>
      <c r="F7" s="416"/>
      <c r="G7" s="416"/>
      <c r="H7" s="149"/>
      <c r="I7" s="15" t="s">
        <v>466</v>
      </c>
      <c r="K7" s="15">
        <v>2.3330000000000002</v>
      </c>
      <c r="P7" s="15">
        <f>50.85-18.28</f>
        <v>32.57</v>
      </c>
    </row>
    <row r="8" spans="1:18" ht="27" customHeight="1" x14ac:dyDescent="0.25">
      <c r="A8" s="223">
        <v>4</v>
      </c>
      <c r="B8" s="379"/>
      <c r="C8" s="3" t="s">
        <v>51</v>
      </c>
      <c r="D8" s="429">
        <v>315.62200000000001</v>
      </c>
      <c r="E8" s="429"/>
      <c r="F8" s="429"/>
      <c r="G8" s="429"/>
      <c r="H8" s="150"/>
      <c r="J8" s="52">
        <f>D11-D12</f>
        <v>3.5</v>
      </c>
      <c r="L8" s="15">
        <v>33.200000000000003</v>
      </c>
      <c r="M8" s="15">
        <v>1.3</v>
      </c>
      <c r="N8" s="15">
        <f>L8-M8</f>
        <v>31.900000000000002</v>
      </c>
      <c r="R8" s="15">
        <v>33</v>
      </c>
    </row>
    <row r="9" spans="1:18" ht="44.45" customHeight="1" x14ac:dyDescent="0.25">
      <c r="A9" s="223">
        <v>5</v>
      </c>
      <c r="B9" s="379"/>
      <c r="C9" s="3" t="s">
        <v>2</v>
      </c>
      <c r="D9" s="432">
        <v>67.47</v>
      </c>
      <c r="E9" s="432"/>
      <c r="F9" s="432"/>
      <c r="G9" s="432"/>
      <c r="H9" s="151"/>
      <c r="I9" s="53">
        <f>D9-D10</f>
        <v>1.5</v>
      </c>
      <c r="J9" s="53">
        <f>D11-D9</f>
        <v>0.10999999999999943</v>
      </c>
      <c r="K9" s="15">
        <v>50.85</v>
      </c>
      <c r="L9" s="15">
        <f>K9-3</f>
        <v>47.85</v>
      </c>
      <c r="M9" s="15">
        <v>50.17</v>
      </c>
      <c r="N9" s="15">
        <f>M9-L9</f>
        <v>2.3200000000000003</v>
      </c>
      <c r="O9" s="15">
        <f>50.17-2.32</f>
        <v>47.85</v>
      </c>
      <c r="R9" s="15">
        <v>31.295000000000002</v>
      </c>
    </row>
    <row r="10" spans="1:18" ht="30.6" customHeight="1" x14ac:dyDescent="0.25">
      <c r="A10" s="223">
        <v>6</v>
      </c>
      <c r="B10" s="379"/>
      <c r="C10" s="3" t="s">
        <v>3</v>
      </c>
      <c r="D10" s="432">
        <v>65.97</v>
      </c>
      <c r="E10" s="432"/>
      <c r="F10" s="432"/>
      <c r="G10" s="432"/>
      <c r="H10" s="151"/>
      <c r="I10" s="53">
        <f>D9-D10</f>
        <v>1.5</v>
      </c>
      <c r="J10" s="53">
        <v>103.15</v>
      </c>
      <c r="K10" s="53">
        <v>0.5</v>
      </c>
      <c r="L10" s="53">
        <f>J10-K10</f>
        <v>102.65</v>
      </c>
      <c r="M10" s="52">
        <f>D11-D9</f>
        <v>0.10999999999999943</v>
      </c>
      <c r="N10" s="53">
        <f>D9-D10</f>
        <v>1.5</v>
      </c>
    </row>
    <row r="11" spans="1:18" ht="30.6" customHeight="1" x14ac:dyDescent="0.25">
      <c r="A11" s="223">
        <v>7</v>
      </c>
      <c r="B11" s="379"/>
      <c r="C11" s="3" t="s">
        <v>61</v>
      </c>
      <c r="D11" s="432">
        <v>67.58</v>
      </c>
      <c r="E11" s="432"/>
      <c r="F11" s="432"/>
      <c r="G11" s="432"/>
      <c r="H11" s="151"/>
      <c r="I11" s="53">
        <f>D11-D9</f>
        <v>0.10999999999999943</v>
      </c>
      <c r="J11" s="53">
        <f>D11-D17</f>
        <v>20.58</v>
      </c>
      <c r="K11" s="15">
        <v>0.2</v>
      </c>
      <c r="L11" s="52">
        <f>D11-K11</f>
        <v>67.38</v>
      </c>
      <c r="P11" s="15">
        <v>50.865000000000002</v>
      </c>
    </row>
    <row r="12" spans="1:18" ht="30.6" customHeight="1" x14ac:dyDescent="0.25">
      <c r="A12" s="223">
        <f t="shared" ref="A12:A80" si="0">A11+1</f>
        <v>8</v>
      </c>
      <c r="B12" s="379"/>
      <c r="C12" s="3" t="s">
        <v>4</v>
      </c>
      <c r="D12" s="432">
        <v>64.08</v>
      </c>
      <c r="E12" s="432"/>
      <c r="F12" s="432"/>
      <c r="G12" s="432"/>
      <c r="H12" s="151"/>
      <c r="I12" s="52">
        <f>D11-D12</f>
        <v>3.5</v>
      </c>
      <c r="J12" s="53">
        <f>D9-D12</f>
        <v>3.3900000000000006</v>
      </c>
      <c r="K12" s="15">
        <f>55.214-53.75</f>
        <v>1.4639999999999986</v>
      </c>
      <c r="P12" s="15">
        <v>50.17</v>
      </c>
    </row>
    <row r="13" spans="1:18" ht="30.6" customHeight="1" x14ac:dyDescent="0.25">
      <c r="A13" s="223">
        <f>A12+1</f>
        <v>9</v>
      </c>
      <c r="B13" s="379"/>
      <c r="C13" s="230" t="s">
        <v>34</v>
      </c>
      <c r="D13" s="432">
        <v>65.8</v>
      </c>
      <c r="E13" s="432"/>
      <c r="F13" s="432"/>
      <c r="G13" s="432"/>
      <c r="H13" s="151" t="s">
        <v>408</v>
      </c>
      <c r="P13" s="15">
        <v>50.17</v>
      </c>
    </row>
    <row r="14" spans="1:18" ht="30.6" customHeight="1" x14ac:dyDescent="0.25">
      <c r="A14" s="223">
        <f t="shared" si="0"/>
        <v>10</v>
      </c>
      <c r="B14" s="379"/>
      <c r="C14" s="3" t="s">
        <v>49</v>
      </c>
      <c r="D14" s="434">
        <v>62.524999999999999</v>
      </c>
      <c r="E14" s="434"/>
      <c r="F14" s="434"/>
      <c r="G14" s="434"/>
      <c r="H14" s="151">
        <v>94.563000000000002</v>
      </c>
      <c r="I14" s="172">
        <f>D11-D14</f>
        <v>5.0549999999999997</v>
      </c>
      <c r="J14" s="172">
        <f>D9-D14</f>
        <v>4.9450000000000003</v>
      </c>
      <c r="O14" s="52">
        <f>D9-D14</f>
        <v>4.9450000000000003</v>
      </c>
    </row>
    <row r="15" spans="1:18" ht="37.9" customHeight="1" x14ac:dyDescent="0.25">
      <c r="A15" s="370">
        <f t="shared" si="0"/>
        <v>11</v>
      </c>
      <c r="B15" s="379"/>
      <c r="C15" s="395" t="s">
        <v>278</v>
      </c>
      <c r="D15" s="432">
        <v>47</v>
      </c>
      <c r="E15" s="432"/>
      <c r="F15" s="432"/>
      <c r="G15" s="432"/>
      <c r="H15" s="151" t="s">
        <v>409</v>
      </c>
      <c r="L15" s="172">
        <f>D11-D17</f>
        <v>20.58</v>
      </c>
    </row>
    <row r="16" spans="1:18" ht="24" hidden="1" customHeight="1" x14ac:dyDescent="0.25">
      <c r="A16" s="371"/>
      <c r="B16" s="379"/>
      <c r="C16" s="395"/>
      <c r="D16" s="432" t="s">
        <v>416</v>
      </c>
      <c r="E16" s="432"/>
      <c r="F16" s="432"/>
      <c r="G16" s="432"/>
      <c r="H16" s="51">
        <f>D11-H14</f>
        <v>-26.983000000000004</v>
      </c>
    </row>
    <row r="17" spans="1:35" ht="45.6" customHeight="1" x14ac:dyDescent="0.25">
      <c r="A17" s="223">
        <f>A15+1</f>
        <v>12</v>
      </c>
      <c r="B17" s="379"/>
      <c r="C17" s="3" t="s">
        <v>5</v>
      </c>
      <c r="D17" s="433">
        <v>47</v>
      </c>
      <c r="E17" s="433"/>
      <c r="F17" s="433"/>
      <c r="G17" s="433"/>
      <c r="H17" s="51">
        <f>D9-H14</f>
        <v>-27.093000000000004</v>
      </c>
      <c r="R17" s="15">
        <f>AH17</f>
        <v>0</v>
      </c>
      <c r="AB17" s="128">
        <f>F17</f>
        <v>0</v>
      </c>
      <c r="AF17" s="15">
        <v>0</v>
      </c>
      <c r="AG17" s="15">
        <f>0.5*AI17*AC17</f>
        <v>0</v>
      </c>
      <c r="AI17" s="53">
        <f>AB17*AD17</f>
        <v>0</v>
      </c>
    </row>
    <row r="18" spans="1:35" ht="39" customHeight="1" x14ac:dyDescent="0.25">
      <c r="A18" s="370">
        <f t="shared" si="0"/>
        <v>13</v>
      </c>
      <c r="B18" s="379"/>
      <c r="C18" s="445" t="s">
        <v>276</v>
      </c>
      <c r="D18" s="435" t="s">
        <v>192</v>
      </c>
      <c r="E18" s="436"/>
      <c r="F18" s="436"/>
      <c r="G18" s="437"/>
      <c r="H18" s="151"/>
      <c r="K18" s="15">
        <v>100</v>
      </c>
      <c r="L18" s="15">
        <v>6.0190000000000001</v>
      </c>
      <c r="M18" s="15">
        <f>K18-L18</f>
        <v>93.980999999999995</v>
      </c>
      <c r="O18" s="15">
        <f>50.85-32</f>
        <v>18.850000000000001</v>
      </c>
      <c r="R18" s="15">
        <f t="shared" ref="R18:R19" si="1">AH18</f>
        <v>0</v>
      </c>
      <c r="AF18" s="15">
        <f>AI17*AC18</f>
        <v>0</v>
      </c>
      <c r="AG18" s="15">
        <f>-(AI18-AI17)*AC18/2</f>
        <v>0</v>
      </c>
      <c r="AI18" s="53">
        <f>AB18*AD18</f>
        <v>0</v>
      </c>
    </row>
    <row r="19" spans="1:35" ht="22.9" hidden="1" customHeight="1" x14ac:dyDescent="0.25">
      <c r="A19" s="371"/>
      <c r="B19" s="379"/>
      <c r="C19" s="446"/>
      <c r="D19" s="442" t="s">
        <v>416</v>
      </c>
      <c r="E19" s="443"/>
      <c r="F19" s="443"/>
      <c r="G19" s="444"/>
      <c r="H19" s="151"/>
      <c r="R19" s="15">
        <f t="shared" si="1"/>
        <v>0</v>
      </c>
      <c r="AF19" s="15">
        <f>AI18*AC19</f>
        <v>0</v>
      </c>
      <c r="AG19" s="15">
        <f>(AI19-AI18)*AC19/2</f>
        <v>0</v>
      </c>
      <c r="AI19" s="53">
        <f>AB19*AD19</f>
        <v>0</v>
      </c>
    </row>
    <row r="20" spans="1:35" ht="45.6" customHeight="1" x14ac:dyDescent="0.25">
      <c r="A20" s="223">
        <f>A18+1</f>
        <v>14</v>
      </c>
      <c r="B20" s="379"/>
      <c r="C20" s="3" t="s">
        <v>277</v>
      </c>
      <c r="D20" s="438" t="s">
        <v>192</v>
      </c>
      <c r="E20" s="438"/>
      <c r="F20" s="438"/>
      <c r="G20" s="438"/>
      <c r="H20" s="151"/>
    </row>
    <row r="21" spans="1:35" ht="27" customHeight="1" x14ac:dyDescent="0.25">
      <c r="A21" s="223">
        <f t="shared" si="0"/>
        <v>15</v>
      </c>
      <c r="B21" s="379"/>
      <c r="C21" s="3" t="s">
        <v>6</v>
      </c>
      <c r="D21" s="439" t="s">
        <v>192</v>
      </c>
      <c r="E21" s="440"/>
      <c r="F21" s="440"/>
      <c r="G21" s="441"/>
      <c r="H21" s="152"/>
      <c r="I21" s="53" t="e">
        <f>D18-D20</f>
        <v>#VALUE!</v>
      </c>
    </row>
    <row r="22" spans="1:35" ht="27" customHeight="1" x14ac:dyDescent="0.25">
      <c r="A22" s="223">
        <f t="shared" si="0"/>
        <v>16</v>
      </c>
      <c r="B22" s="379"/>
      <c r="C22" s="3" t="s">
        <v>52</v>
      </c>
      <c r="D22" s="429">
        <v>1.2</v>
      </c>
      <c r="E22" s="429"/>
      <c r="F22" s="429"/>
      <c r="G22" s="429"/>
      <c r="H22" s="150"/>
    </row>
    <row r="23" spans="1:35" ht="41.45" customHeight="1" x14ac:dyDescent="0.25">
      <c r="A23" s="223">
        <f t="shared" si="0"/>
        <v>17</v>
      </c>
      <c r="B23" s="379"/>
      <c r="C23" s="3" t="s">
        <v>80</v>
      </c>
      <c r="D23" s="416" t="s">
        <v>471</v>
      </c>
      <c r="E23" s="416"/>
      <c r="F23" s="416"/>
      <c r="G23" s="416"/>
      <c r="H23" s="149"/>
    </row>
    <row r="24" spans="1:35" ht="27" customHeight="1" x14ac:dyDescent="0.25">
      <c r="A24" s="394">
        <f t="shared" si="0"/>
        <v>18</v>
      </c>
      <c r="B24" s="379"/>
      <c r="C24" s="395" t="s">
        <v>7</v>
      </c>
      <c r="D24" s="396">
        <v>3090</v>
      </c>
      <c r="E24" s="396"/>
      <c r="F24" s="396"/>
      <c r="G24" s="396"/>
      <c r="H24" s="153"/>
    </row>
    <row r="25" spans="1:35" ht="27" customHeight="1" x14ac:dyDescent="0.25">
      <c r="A25" s="394"/>
      <c r="B25" s="379"/>
      <c r="C25" s="395"/>
      <c r="D25" s="396" t="str">
        <f>"(or) "&amp;'Load calculation'!D6&amp;" MT"</f>
        <v>(or) 315 MT</v>
      </c>
      <c r="E25" s="396"/>
      <c r="F25" s="396"/>
      <c r="G25" s="396"/>
      <c r="H25" s="153"/>
    </row>
    <row r="26" spans="1:35" ht="27" customHeight="1" x14ac:dyDescent="0.25">
      <c r="A26" s="223">
        <f>A24+1</f>
        <v>19</v>
      </c>
      <c r="B26" s="379"/>
      <c r="C26" s="3" t="s">
        <v>75</v>
      </c>
      <c r="D26" s="431" t="s">
        <v>472</v>
      </c>
      <c r="E26" s="416"/>
      <c r="F26" s="416"/>
      <c r="G26" s="416"/>
      <c r="H26" s="177"/>
    </row>
    <row r="27" spans="1:35" ht="34.15" customHeight="1" x14ac:dyDescent="0.25">
      <c r="A27" s="223">
        <f t="shared" si="0"/>
        <v>20</v>
      </c>
      <c r="B27" s="379" t="s">
        <v>0</v>
      </c>
      <c r="C27" s="3" t="s">
        <v>35</v>
      </c>
      <c r="D27" s="376" t="s">
        <v>81</v>
      </c>
      <c r="E27" s="376"/>
      <c r="F27" s="376"/>
      <c r="G27" s="376"/>
      <c r="H27" s="154"/>
    </row>
    <row r="28" spans="1:35" ht="34.15" customHeight="1" x14ac:dyDescent="0.25">
      <c r="A28" s="223">
        <f t="shared" si="0"/>
        <v>21</v>
      </c>
      <c r="B28" s="379"/>
      <c r="C28" s="3" t="s">
        <v>8</v>
      </c>
      <c r="D28" s="422" t="s">
        <v>82</v>
      </c>
      <c r="E28" s="422"/>
      <c r="F28" s="422"/>
      <c r="G28" s="422"/>
      <c r="H28" s="154"/>
      <c r="L28" s="15">
        <f>17.5*3.14*1.2*1.2/4</f>
        <v>19.782</v>
      </c>
    </row>
    <row r="29" spans="1:35" ht="26.45" customHeight="1" x14ac:dyDescent="0.25">
      <c r="A29" s="394">
        <f>A28+1</f>
        <v>22</v>
      </c>
      <c r="B29" s="379"/>
      <c r="C29" s="430" t="s">
        <v>9</v>
      </c>
      <c r="D29" s="419">
        <v>23.138999999999999</v>
      </c>
      <c r="E29" s="420"/>
      <c r="F29" s="420"/>
      <c r="G29" s="421"/>
      <c r="H29" s="155"/>
      <c r="J29" s="36">
        <f>D11-D17</f>
        <v>20.58</v>
      </c>
      <c r="K29" s="36">
        <f>22/7*D22*D22/4*J29</f>
        <v>23.284799999999997</v>
      </c>
      <c r="L29" s="51">
        <f>D11-J29</f>
        <v>47</v>
      </c>
    </row>
    <row r="30" spans="1:35" ht="26.45" customHeight="1" x14ac:dyDescent="0.25">
      <c r="A30" s="394"/>
      <c r="B30" s="379"/>
      <c r="C30" s="430"/>
      <c r="D30" s="423" t="s">
        <v>389</v>
      </c>
      <c r="E30" s="424"/>
      <c r="F30" s="424"/>
      <c r="G30" s="425"/>
      <c r="H30" s="156"/>
      <c r="J30" s="52">
        <f>51.57-J29</f>
        <v>30.990000000000002</v>
      </c>
    </row>
    <row r="31" spans="1:35" ht="34.15" customHeight="1" x14ac:dyDescent="0.25">
      <c r="A31" s="223">
        <f>A29+1</f>
        <v>23</v>
      </c>
      <c r="B31" s="379"/>
      <c r="C31" s="3" t="s">
        <v>36</v>
      </c>
      <c r="D31" s="414" t="s">
        <v>473</v>
      </c>
      <c r="E31" s="414"/>
      <c r="F31" s="414"/>
      <c r="G31" s="414"/>
      <c r="H31" s="157"/>
      <c r="J31" s="15">
        <f>51.365-36</f>
        <v>15.365000000000002</v>
      </c>
      <c r="M31" s="15">
        <f>N32-M32</f>
        <v>10.400000000000034</v>
      </c>
      <c r="O31" s="15">
        <f>O32-N32</f>
        <v>10.399999999999977</v>
      </c>
    </row>
    <row r="32" spans="1:35" ht="45.6" customHeight="1" x14ac:dyDescent="0.25">
      <c r="A32" s="223">
        <f t="shared" si="0"/>
        <v>24</v>
      </c>
      <c r="B32" s="379"/>
      <c r="C32" s="3" t="s">
        <v>76</v>
      </c>
      <c r="D32" s="415">
        <f>'Load calculation'!D17</f>
        <v>24.141999999999999</v>
      </c>
      <c r="E32" s="415"/>
      <c r="F32" s="415"/>
      <c r="G32" s="415"/>
      <c r="H32" s="158"/>
      <c r="J32" s="15">
        <v>52.65</v>
      </c>
      <c r="M32" s="15">
        <v>395.02</v>
      </c>
      <c r="N32" s="15">
        <f>N33</f>
        <v>405.42</v>
      </c>
      <c r="O32" s="15">
        <v>415.82</v>
      </c>
    </row>
    <row r="33" spans="1:15" ht="45.6" customHeight="1" x14ac:dyDescent="0.25">
      <c r="A33" s="223">
        <f t="shared" si="0"/>
        <v>25</v>
      </c>
      <c r="B33" s="383" t="s">
        <v>62</v>
      </c>
      <c r="C33" s="4" t="s">
        <v>39</v>
      </c>
      <c r="D33" s="384" t="s">
        <v>399</v>
      </c>
      <c r="E33" s="384"/>
      <c r="F33" s="416" t="s">
        <v>437</v>
      </c>
      <c r="G33" s="416"/>
      <c r="H33" s="149"/>
      <c r="J33" s="15">
        <v>52.64</v>
      </c>
      <c r="M33" s="15">
        <v>390</v>
      </c>
      <c r="N33" s="15">
        <v>405.42</v>
      </c>
      <c r="O33" s="15">
        <v>410</v>
      </c>
    </row>
    <row r="34" spans="1:15" ht="35.450000000000003" customHeight="1" x14ac:dyDescent="0.25">
      <c r="A34" s="223">
        <f t="shared" si="0"/>
        <v>26</v>
      </c>
      <c r="B34" s="383"/>
      <c r="C34" s="3" t="s">
        <v>42</v>
      </c>
      <c r="D34" s="417" t="s">
        <v>412</v>
      </c>
      <c r="E34" s="417"/>
      <c r="F34" s="417" t="s">
        <v>412</v>
      </c>
      <c r="G34" s="417"/>
      <c r="H34" s="157"/>
      <c r="J34" s="15">
        <v>52.45</v>
      </c>
      <c r="M34" s="15">
        <f>N33-M33</f>
        <v>15.420000000000016</v>
      </c>
      <c r="O34" s="15">
        <f>O33-N33</f>
        <v>4.5799999999999841</v>
      </c>
    </row>
    <row r="35" spans="1:15" ht="35.450000000000003" customHeight="1" x14ac:dyDescent="0.25">
      <c r="A35" s="223">
        <f t="shared" si="0"/>
        <v>27</v>
      </c>
      <c r="B35" s="383"/>
      <c r="C35" s="3" t="s">
        <v>417</v>
      </c>
      <c r="D35" s="418">
        <v>315.63200000000001</v>
      </c>
      <c r="E35" s="418"/>
      <c r="F35" s="418">
        <v>315.62200000000001</v>
      </c>
      <c r="G35" s="418"/>
      <c r="H35" s="159"/>
      <c r="J35" s="15">
        <f>52.64-3</f>
        <v>49.64</v>
      </c>
    </row>
    <row r="36" spans="1:15" ht="35.450000000000003" customHeight="1" x14ac:dyDescent="0.25">
      <c r="A36" s="370">
        <f t="shared" si="0"/>
        <v>28</v>
      </c>
      <c r="B36" s="383"/>
      <c r="C36" s="3" t="s">
        <v>43</v>
      </c>
      <c r="D36" s="408">
        <v>66.39</v>
      </c>
      <c r="E36" s="408"/>
      <c r="F36" s="408">
        <v>67.47</v>
      </c>
      <c r="G36" s="408"/>
      <c r="H36" s="160"/>
      <c r="I36" s="52">
        <f>F36-2.32</f>
        <v>65.150000000000006</v>
      </c>
      <c r="J36" s="53">
        <f>D36-J29</f>
        <v>45.81</v>
      </c>
      <c r="K36" s="53">
        <f>F36-D36</f>
        <v>1.0799999999999983</v>
      </c>
      <c r="L36" s="53">
        <f>5.1+K36</f>
        <v>6.1799999999999979</v>
      </c>
      <c r="M36" s="15">
        <v>2.33</v>
      </c>
      <c r="N36" s="53">
        <f>F36-M36</f>
        <v>65.14</v>
      </c>
    </row>
    <row r="37" spans="1:15" ht="35.450000000000003" customHeight="1" x14ac:dyDescent="0.25">
      <c r="A37" s="371"/>
      <c r="B37" s="383"/>
      <c r="C37" s="3" t="s">
        <v>489</v>
      </c>
      <c r="D37" s="411" t="s">
        <v>473</v>
      </c>
      <c r="E37" s="412"/>
      <c r="F37" s="411" t="s">
        <v>473</v>
      </c>
      <c r="G37" s="412"/>
      <c r="H37" s="160"/>
      <c r="I37" s="52"/>
      <c r="J37" s="53"/>
      <c r="K37" s="53"/>
      <c r="L37" s="53"/>
      <c r="N37" s="53"/>
    </row>
    <row r="38" spans="1:15" ht="35.450000000000003" customHeight="1" x14ac:dyDescent="0.25">
      <c r="A38" s="223">
        <f>A36+1</f>
        <v>29</v>
      </c>
      <c r="B38" s="383"/>
      <c r="C38" s="3" t="s">
        <v>40</v>
      </c>
      <c r="D38" s="411" t="s">
        <v>83</v>
      </c>
      <c r="E38" s="413"/>
      <c r="F38" s="413"/>
      <c r="G38" s="412"/>
      <c r="H38" s="161"/>
    </row>
    <row r="39" spans="1:15" ht="50.25" customHeight="1" x14ac:dyDescent="0.25">
      <c r="A39" s="223">
        <f t="shared" si="0"/>
        <v>30</v>
      </c>
      <c r="B39" s="383"/>
      <c r="C39" s="3" t="s">
        <v>59</v>
      </c>
      <c r="D39" s="376" t="s">
        <v>192</v>
      </c>
      <c r="E39" s="376"/>
      <c r="F39" s="376"/>
      <c r="G39" s="376"/>
      <c r="H39" s="154"/>
    </row>
    <row r="40" spans="1:15" ht="39.6" customHeight="1" x14ac:dyDescent="0.25">
      <c r="A40" s="223">
        <f t="shared" si="0"/>
        <v>31</v>
      </c>
      <c r="B40" s="405" t="s">
        <v>10</v>
      </c>
      <c r="C40" s="5" t="s">
        <v>11</v>
      </c>
      <c r="D40" s="384" t="str">
        <f>'Load calculation'!D5&amp;" kN (or) "&amp;'Load calculation'!D6&amp;" MT"</f>
        <v>3090 kN (or) 315 MT</v>
      </c>
      <c r="E40" s="384"/>
      <c r="F40" s="384"/>
      <c r="G40" s="384"/>
      <c r="H40" s="161"/>
    </row>
    <row r="41" spans="1:15" ht="117" customHeight="1" x14ac:dyDescent="0.25">
      <c r="A41" s="223">
        <f t="shared" si="0"/>
        <v>32</v>
      </c>
      <c r="B41" s="405"/>
      <c r="C41" s="5" t="s">
        <v>354</v>
      </c>
      <c r="D41" s="409" t="str">
        <f>CONCATENATE('Load calculation'!D6," + ",'Load calculation'!D17,"  =  ",'Load calculation'!D19, "MT")</f>
        <v>315 + 24.142  =  339.142MT</v>
      </c>
      <c r="E41" s="409"/>
      <c r="F41" s="409"/>
      <c r="G41" s="409"/>
      <c r="H41" s="162"/>
    </row>
    <row r="42" spans="1:15" ht="81" customHeight="1" x14ac:dyDescent="0.25">
      <c r="A42" s="223">
        <f t="shared" si="0"/>
        <v>33</v>
      </c>
      <c r="B42" s="405"/>
      <c r="C42" s="3" t="s">
        <v>98</v>
      </c>
      <c r="D42" s="410">
        <f>'Load calculation'!D23</f>
        <v>847.85500000000002</v>
      </c>
      <c r="E42" s="410"/>
      <c r="F42" s="410"/>
      <c r="G42" s="410"/>
      <c r="H42" s="163"/>
    </row>
    <row r="43" spans="1:15" ht="46.9" customHeight="1" x14ac:dyDescent="0.25">
      <c r="A43" s="223">
        <f t="shared" si="0"/>
        <v>34</v>
      </c>
      <c r="B43" s="405"/>
      <c r="C43" s="3" t="s">
        <v>99</v>
      </c>
      <c r="D43" s="410">
        <f>'Load calculation'!D25</f>
        <v>1059.819</v>
      </c>
      <c r="E43" s="410"/>
      <c r="F43" s="410"/>
      <c r="G43" s="410"/>
      <c r="H43" s="163"/>
    </row>
    <row r="44" spans="1:15" ht="32.450000000000003" customHeight="1" x14ac:dyDescent="0.25">
      <c r="A44" s="223">
        <f t="shared" si="0"/>
        <v>35</v>
      </c>
      <c r="B44" s="383" t="s">
        <v>12</v>
      </c>
      <c r="C44" s="3" t="s">
        <v>58</v>
      </c>
      <c r="D44" s="384" t="s">
        <v>85</v>
      </c>
      <c r="E44" s="384"/>
      <c r="F44" s="384"/>
      <c r="G44" s="384"/>
      <c r="H44" s="161"/>
    </row>
    <row r="45" spans="1:15" ht="32.450000000000003" customHeight="1" x14ac:dyDescent="0.25">
      <c r="A45" s="223">
        <f t="shared" si="0"/>
        <v>36</v>
      </c>
      <c r="B45" s="383"/>
      <c r="C45" s="3" t="s">
        <v>41</v>
      </c>
      <c r="D45" s="385">
        <v>1.6</v>
      </c>
      <c r="E45" s="385"/>
      <c r="F45" s="385"/>
      <c r="G45" s="385"/>
      <c r="H45" s="164"/>
    </row>
    <row r="46" spans="1:15" ht="32.450000000000003" customHeight="1" x14ac:dyDescent="0.25">
      <c r="A46" s="223">
        <f t="shared" si="0"/>
        <v>37</v>
      </c>
      <c r="B46" s="383"/>
      <c r="C46" s="3" t="s">
        <v>60</v>
      </c>
      <c r="D46" s="385">
        <v>1.4</v>
      </c>
      <c r="E46" s="385"/>
      <c r="F46" s="385"/>
      <c r="G46" s="385"/>
      <c r="H46" s="164"/>
    </row>
    <row r="47" spans="1:15" ht="32.450000000000003" customHeight="1" x14ac:dyDescent="0.25">
      <c r="A47" s="223">
        <f t="shared" si="0"/>
        <v>38</v>
      </c>
      <c r="B47" s="383"/>
      <c r="C47" s="3" t="s">
        <v>63</v>
      </c>
      <c r="D47" s="386">
        <v>2.4</v>
      </c>
      <c r="E47" s="386"/>
      <c r="F47" s="386"/>
      <c r="G47" s="386"/>
      <c r="H47" s="165"/>
    </row>
    <row r="48" spans="1:15" ht="73.5" customHeight="1" x14ac:dyDescent="0.25">
      <c r="A48" s="223">
        <f t="shared" si="0"/>
        <v>39</v>
      </c>
      <c r="B48" s="383" t="s">
        <v>77</v>
      </c>
      <c r="C48" s="3" t="s">
        <v>13</v>
      </c>
      <c r="D48" s="406" t="s">
        <v>484</v>
      </c>
      <c r="E48" s="406"/>
      <c r="F48" s="406"/>
      <c r="G48" s="406"/>
      <c r="H48" s="166"/>
    </row>
    <row r="49" spans="1:10" ht="23.45" customHeight="1" x14ac:dyDescent="0.25">
      <c r="A49" s="223">
        <f t="shared" si="0"/>
        <v>40</v>
      </c>
      <c r="B49" s="383"/>
      <c r="C49" s="3" t="s">
        <v>14</v>
      </c>
      <c r="D49" s="407">
        <v>734</v>
      </c>
      <c r="E49" s="407"/>
      <c r="F49" s="407"/>
      <c r="G49" s="407"/>
      <c r="H49" s="167"/>
    </row>
    <row r="50" spans="1:10" ht="23.45" customHeight="1" x14ac:dyDescent="0.25">
      <c r="A50" s="223">
        <f t="shared" si="0"/>
        <v>41</v>
      </c>
      <c r="B50" s="383"/>
      <c r="C50" s="3" t="s">
        <v>15</v>
      </c>
      <c r="D50" s="381">
        <v>12</v>
      </c>
      <c r="E50" s="381"/>
      <c r="F50" s="382">
        <v>4</v>
      </c>
      <c r="G50" s="382"/>
      <c r="H50" s="168"/>
    </row>
    <row r="51" spans="1:10" ht="23.45" customHeight="1" x14ac:dyDescent="0.25">
      <c r="A51" s="223">
        <f t="shared" si="0"/>
        <v>42</v>
      </c>
      <c r="B51" s="379" t="s">
        <v>16</v>
      </c>
      <c r="C51" s="3" t="s">
        <v>57</v>
      </c>
      <c r="D51" s="376" t="s">
        <v>438</v>
      </c>
      <c r="E51" s="376"/>
      <c r="F51" s="376"/>
      <c r="G51" s="376"/>
      <c r="H51" s="154"/>
    </row>
    <row r="52" spans="1:10" ht="23.45" customHeight="1" x14ac:dyDescent="0.25">
      <c r="A52" s="223">
        <f t="shared" si="0"/>
        <v>43</v>
      </c>
      <c r="B52" s="379"/>
      <c r="C52" s="3" t="s">
        <v>14</v>
      </c>
      <c r="D52" s="380">
        <v>450</v>
      </c>
      <c r="E52" s="380"/>
      <c r="F52" s="380"/>
      <c r="G52" s="380"/>
      <c r="H52" s="169"/>
    </row>
    <row r="53" spans="1:10" ht="23.45" customHeight="1" x14ac:dyDescent="0.25">
      <c r="A53" s="223">
        <f t="shared" si="0"/>
        <v>44</v>
      </c>
      <c r="B53" s="379"/>
      <c r="C53" s="3" t="s">
        <v>15</v>
      </c>
      <c r="D53" s="381">
        <v>12</v>
      </c>
      <c r="E53" s="381"/>
      <c r="F53" s="382">
        <v>30</v>
      </c>
      <c r="G53" s="382"/>
      <c r="H53" s="168"/>
    </row>
    <row r="54" spans="1:10" ht="23.45" customHeight="1" x14ac:dyDescent="0.25">
      <c r="A54" s="223"/>
      <c r="B54" s="383" t="s">
        <v>64</v>
      </c>
      <c r="C54" s="3" t="s">
        <v>39</v>
      </c>
      <c r="D54" s="377" t="s">
        <v>86</v>
      </c>
      <c r="E54" s="377"/>
      <c r="F54" s="377" t="s">
        <v>87</v>
      </c>
      <c r="G54" s="377"/>
      <c r="H54" s="170"/>
    </row>
    <row r="55" spans="1:10" ht="23.45" customHeight="1" x14ac:dyDescent="0.25">
      <c r="A55" s="223">
        <v>45</v>
      </c>
      <c r="B55" s="383"/>
      <c r="C55" s="3" t="s">
        <v>53</v>
      </c>
      <c r="D55" s="376">
        <v>1200</v>
      </c>
      <c r="E55" s="376"/>
      <c r="F55" s="376" t="s">
        <v>490</v>
      </c>
      <c r="G55" s="376"/>
      <c r="H55" s="154"/>
    </row>
    <row r="56" spans="1:10" ht="23.45" customHeight="1" x14ac:dyDescent="0.25">
      <c r="A56" s="223">
        <f t="shared" si="0"/>
        <v>46</v>
      </c>
      <c r="B56" s="383"/>
      <c r="C56" s="3" t="s">
        <v>65</v>
      </c>
      <c r="D56" s="380">
        <v>50</v>
      </c>
      <c r="E56" s="380"/>
      <c r="F56" s="380">
        <v>70</v>
      </c>
      <c r="G56" s="380"/>
      <c r="H56" s="154"/>
    </row>
    <row r="57" spans="1:10" ht="39.6" customHeight="1" x14ac:dyDescent="0.25">
      <c r="A57" s="223">
        <f t="shared" si="0"/>
        <v>47</v>
      </c>
      <c r="B57" s="405" t="s">
        <v>17</v>
      </c>
      <c r="C57" s="3" t="s">
        <v>44</v>
      </c>
      <c r="D57" s="376" t="s">
        <v>88</v>
      </c>
      <c r="E57" s="376"/>
      <c r="F57" s="376"/>
      <c r="G57" s="376"/>
      <c r="H57" s="154"/>
    </row>
    <row r="58" spans="1:10" ht="39.6" customHeight="1" x14ac:dyDescent="0.25">
      <c r="A58" s="223">
        <f t="shared" si="0"/>
        <v>48</v>
      </c>
      <c r="B58" s="405"/>
      <c r="C58" s="3" t="s">
        <v>78</v>
      </c>
      <c r="D58" s="377" t="s">
        <v>89</v>
      </c>
      <c r="E58" s="377"/>
      <c r="F58" s="377"/>
      <c r="G58" s="377"/>
      <c r="H58" s="170"/>
    </row>
    <row r="59" spans="1:10" ht="25.15" customHeight="1" x14ac:dyDescent="0.25">
      <c r="A59" s="223">
        <f t="shared" si="0"/>
        <v>49</v>
      </c>
      <c r="B59" s="405"/>
      <c r="C59" s="3" t="s">
        <v>96</v>
      </c>
      <c r="D59" s="378" t="s">
        <v>260</v>
      </c>
      <c r="E59" s="378"/>
      <c r="F59" s="378"/>
      <c r="G59" s="378"/>
      <c r="H59" s="146"/>
    </row>
    <row r="60" spans="1:10" s="217" customFormat="1" ht="38.25" customHeight="1" x14ac:dyDescent="0.25">
      <c r="A60" s="231">
        <f t="shared" si="0"/>
        <v>50</v>
      </c>
      <c r="B60" s="372" t="s">
        <v>79</v>
      </c>
      <c r="C60" s="232" t="s">
        <v>18</v>
      </c>
      <c r="D60" s="387" t="s">
        <v>439</v>
      </c>
      <c r="E60" s="387"/>
      <c r="F60" s="387"/>
      <c r="G60" s="387"/>
      <c r="H60" s="216"/>
    </row>
    <row r="61" spans="1:10" s="217" customFormat="1" ht="52.15" customHeight="1" x14ac:dyDescent="0.25">
      <c r="A61" s="231">
        <f t="shared" si="0"/>
        <v>51</v>
      </c>
      <c r="B61" s="372"/>
      <c r="C61" s="232" t="s">
        <v>66</v>
      </c>
      <c r="D61" s="391" t="s">
        <v>485</v>
      </c>
      <c r="E61" s="391"/>
      <c r="F61" s="391" t="s">
        <v>486</v>
      </c>
      <c r="G61" s="391"/>
      <c r="H61" s="218"/>
      <c r="J61" s="219"/>
    </row>
    <row r="62" spans="1:10" s="217" customFormat="1" ht="21.6" customHeight="1" x14ac:dyDescent="0.25">
      <c r="A62" s="231">
        <f t="shared" si="0"/>
        <v>52</v>
      </c>
      <c r="B62" s="372"/>
      <c r="C62" s="232" t="s">
        <v>54</v>
      </c>
      <c r="D62" s="389">
        <v>505</v>
      </c>
      <c r="E62" s="389"/>
      <c r="F62" s="389">
        <v>505</v>
      </c>
      <c r="G62" s="389"/>
      <c r="H62" s="220"/>
    </row>
    <row r="63" spans="1:10" s="217" customFormat="1" ht="21.6" customHeight="1" x14ac:dyDescent="0.25">
      <c r="A63" s="231">
        <f t="shared" si="0"/>
        <v>53</v>
      </c>
      <c r="B63" s="372"/>
      <c r="C63" s="232" t="s">
        <v>55</v>
      </c>
      <c r="D63" s="389">
        <v>375</v>
      </c>
      <c r="E63" s="389"/>
      <c r="F63" s="389">
        <v>375</v>
      </c>
      <c r="G63" s="389"/>
      <c r="H63" s="220"/>
    </row>
    <row r="64" spans="1:10" s="217" customFormat="1" ht="21.6" customHeight="1" x14ac:dyDescent="0.25">
      <c r="A64" s="231">
        <f t="shared" si="0"/>
        <v>54</v>
      </c>
      <c r="B64" s="372"/>
      <c r="C64" s="232" t="s">
        <v>56</v>
      </c>
      <c r="D64" s="389">
        <v>375</v>
      </c>
      <c r="E64" s="389"/>
      <c r="F64" s="389">
        <v>375</v>
      </c>
      <c r="G64" s="389"/>
      <c r="H64" s="220"/>
    </row>
    <row r="65" spans="1:13" s="217" customFormat="1" ht="21.6" customHeight="1" x14ac:dyDescent="0.25">
      <c r="A65" s="231">
        <f t="shared" si="0"/>
        <v>55</v>
      </c>
      <c r="B65" s="372"/>
      <c r="C65" s="232" t="s">
        <v>19</v>
      </c>
      <c r="D65" s="390">
        <v>1103.9059999999999</v>
      </c>
      <c r="E65" s="390"/>
      <c r="F65" s="390">
        <v>1103.9059999999999</v>
      </c>
      <c r="G65" s="390"/>
      <c r="H65" s="221"/>
    </row>
    <row r="66" spans="1:13" s="217" customFormat="1" ht="21.6" customHeight="1" x14ac:dyDescent="0.25">
      <c r="A66" s="231">
        <f t="shared" si="0"/>
        <v>56</v>
      </c>
      <c r="B66" s="372"/>
      <c r="C66" s="232" t="s">
        <v>45</v>
      </c>
      <c r="D66" s="389">
        <v>440</v>
      </c>
      <c r="E66" s="389"/>
      <c r="F66" s="389">
        <v>440</v>
      </c>
      <c r="G66" s="389"/>
      <c r="H66" s="220"/>
    </row>
    <row r="67" spans="1:13" s="217" customFormat="1" ht="21.6" customHeight="1" x14ac:dyDescent="0.25">
      <c r="A67" s="231">
        <f t="shared" si="0"/>
        <v>57</v>
      </c>
      <c r="B67" s="372"/>
      <c r="C67" s="232" t="s">
        <v>46</v>
      </c>
      <c r="D67" s="389">
        <v>150</v>
      </c>
      <c r="E67" s="389"/>
      <c r="F67" s="389">
        <v>150</v>
      </c>
      <c r="G67" s="389"/>
      <c r="H67" s="220"/>
    </row>
    <row r="68" spans="1:13" s="217" customFormat="1" ht="41.45" customHeight="1" x14ac:dyDescent="0.25">
      <c r="A68" s="231">
        <f t="shared" si="0"/>
        <v>58</v>
      </c>
      <c r="B68" s="372"/>
      <c r="C68" s="232" t="s">
        <v>48</v>
      </c>
      <c r="D68" s="388" t="s">
        <v>440</v>
      </c>
      <c r="E68" s="388"/>
      <c r="F68" s="388" t="s">
        <v>440</v>
      </c>
      <c r="G68" s="388"/>
      <c r="H68" s="222"/>
    </row>
    <row r="69" spans="1:13" s="234" customFormat="1" ht="30.6" customHeight="1" x14ac:dyDescent="0.25">
      <c r="A69" s="231">
        <f t="shared" si="0"/>
        <v>59</v>
      </c>
      <c r="B69" s="401" t="s">
        <v>20</v>
      </c>
      <c r="C69" s="232" t="s">
        <v>21</v>
      </c>
      <c r="D69" s="372" t="s">
        <v>463</v>
      </c>
      <c r="E69" s="372"/>
      <c r="F69" s="372"/>
      <c r="G69" s="372"/>
      <c r="H69" s="233"/>
    </row>
    <row r="70" spans="1:13" s="234" customFormat="1" ht="34.9" customHeight="1" x14ac:dyDescent="0.25">
      <c r="A70" s="231">
        <f t="shared" si="0"/>
        <v>60</v>
      </c>
      <c r="B70" s="401"/>
      <c r="C70" s="232" t="s">
        <v>22</v>
      </c>
      <c r="D70" s="372" t="s">
        <v>441</v>
      </c>
      <c r="E70" s="372"/>
      <c r="F70" s="372"/>
      <c r="G70" s="372"/>
      <c r="H70" s="233"/>
    </row>
    <row r="71" spans="1:13" s="234" customFormat="1" ht="37.15" customHeight="1" x14ac:dyDescent="0.25">
      <c r="A71" s="231">
        <f t="shared" si="0"/>
        <v>61</v>
      </c>
      <c r="B71" s="401"/>
      <c r="C71" s="232" t="s">
        <v>23</v>
      </c>
      <c r="D71" s="402" t="s">
        <v>491</v>
      </c>
      <c r="E71" s="402"/>
      <c r="F71" s="402"/>
      <c r="G71" s="402"/>
      <c r="H71" s="235"/>
    </row>
    <row r="72" spans="1:13" s="234" customFormat="1" ht="25.9" customHeight="1" x14ac:dyDescent="0.25">
      <c r="A72" s="231">
        <f t="shared" si="0"/>
        <v>62</v>
      </c>
      <c r="B72" s="401"/>
      <c r="C72" s="232" t="s">
        <v>24</v>
      </c>
      <c r="D72" s="403" t="s">
        <v>492</v>
      </c>
      <c r="E72" s="402"/>
      <c r="F72" s="402"/>
      <c r="G72" s="402"/>
      <c r="H72" s="235"/>
    </row>
    <row r="73" spans="1:13" s="234" customFormat="1" ht="25.9" customHeight="1" x14ac:dyDescent="0.25">
      <c r="A73" s="231">
        <f t="shared" si="0"/>
        <v>63</v>
      </c>
      <c r="B73" s="401"/>
      <c r="C73" s="232" t="s">
        <v>25</v>
      </c>
      <c r="D73" s="403" t="s">
        <v>493</v>
      </c>
      <c r="E73" s="402"/>
      <c r="F73" s="402"/>
      <c r="G73" s="402"/>
      <c r="H73" s="235"/>
    </row>
    <row r="74" spans="1:13" s="234" customFormat="1" ht="25.15" customHeight="1" x14ac:dyDescent="0.25">
      <c r="A74" s="231">
        <f t="shared" si="0"/>
        <v>64</v>
      </c>
      <c r="B74" s="393" t="s">
        <v>37</v>
      </c>
      <c r="C74" s="232" t="s">
        <v>320</v>
      </c>
      <c r="D74" s="236" t="s">
        <v>70</v>
      </c>
      <c r="E74" s="236" t="s">
        <v>71</v>
      </c>
      <c r="F74" s="236" t="s">
        <v>72</v>
      </c>
      <c r="G74" s="236" t="s">
        <v>73</v>
      </c>
      <c r="H74" s="233"/>
      <c r="J74" s="236"/>
      <c r="K74" s="236"/>
      <c r="L74" s="236"/>
      <c r="M74" s="236"/>
    </row>
    <row r="75" spans="1:13" s="234" customFormat="1" ht="28.15" customHeight="1" x14ac:dyDescent="0.25">
      <c r="A75" s="231">
        <f t="shared" si="0"/>
        <v>65</v>
      </c>
      <c r="B75" s="393"/>
      <c r="C75" s="232" t="s">
        <v>442</v>
      </c>
      <c r="D75" s="237" t="s">
        <v>500</v>
      </c>
      <c r="E75" s="237" t="s">
        <v>444</v>
      </c>
      <c r="F75" s="237" t="s">
        <v>443</v>
      </c>
      <c r="G75" s="237" t="s">
        <v>445</v>
      </c>
      <c r="H75" s="238"/>
      <c r="J75" s="239"/>
      <c r="K75" s="239"/>
      <c r="L75" s="239"/>
      <c r="M75" s="239"/>
    </row>
    <row r="76" spans="1:13" s="234" customFormat="1" ht="25.9" customHeight="1" x14ac:dyDescent="0.25">
      <c r="A76" s="231">
        <f t="shared" si="0"/>
        <v>66</v>
      </c>
      <c r="B76" s="393"/>
      <c r="C76" s="232" t="s">
        <v>74</v>
      </c>
      <c r="D76" s="239" t="s">
        <v>91</v>
      </c>
      <c r="E76" s="239" t="s">
        <v>91</v>
      </c>
      <c r="F76" s="239" t="s">
        <v>91</v>
      </c>
      <c r="G76" s="239" t="s">
        <v>91</v>
      </c>
      <c r="H76" s="238"/>
      <c r="J76" s="239"/>
      <c r="K76" s="239"/>
      <c r="L76" s="239"/>
      <c r="M76" s="239"/>
    </row>
    <row r="77" spans="1:13" s="234" customFormat="1" ht="25.9" customHeight="1" x14ac:dyDescent="0.25">
      <c r="A77" s="231">
        <f t="shared" si="0"/>
        <v>67</v>
      </c>
      <c r="B77" s="393"/>
      <c r="C77" s="232" t="s">
        <v>69</v>
      </c>
      <c r="D77" s="239" t="s">
        <v>90</v>
      </c>
      <c r="E77" s="239" t="s">
        <v>90</v>
      </c>
      <c r="F77" s="239" t="s">
        <v>90</v>
      </c>
      <c r="G77" s="239" t="s">
        <v>90</v>
      </c>
      <c r="H77" s="238"/>
      <c r="J77" s="239" t="s">
        <v>91</v>
      </c>
      <c r="K77" s="239" t="s">
        <v>91</v>
      </c>
      <c r="L77" s="239" t="s">
        <v>91</v>
      </c>
      <c r="M77" s="239" t="s">
        <v>91</v>
      </c>
    </row>
    <row r="78" spans="1:13" s="234" customFormat="1" ht="63" customHeight="1" x14ac:dyDescent="0.25">
      <c r="A78" s="231">
        <f t="shared" si="0"/>
        <v>68</v>
      </c>
      <c r="B78" s="393"/>
      <c r="C78" s="232" t="s">
        <v>26</v>
      </c>
      <c r="D78" s="237" t="s">
        <v>499</v>
      </c>
      <c r="E78" s="237" t="s">
        <v>494</v>
      </c>
      <c r="F78" s="237" t="s">
        <v>495</v>
      </c>
      <c r="G78" s="237" t="s">
        <v>496</v>
      </c>
      <c r="H78" s="238"/>
      <c r="J78" s="239"/>
      <c r="K78" s="239"/>
      <c r="L78" s="239"/>
      <c r="M78" s="240"/>
    </row>
    <row r="79" spans="1:13" s="234" customFormat="1" ht="25.9" customHeight="1" x14ac:dyDescent="0.25">
      <c r="A79" s="231">
        <f t="shared" si="0"/>
        <v>69</v>
      </c>
      <c r="B79" s="393"/>
      <c r="C79" s="232" t="s">
        <v>67</v>
      </c>
      <c r="D79" s="241" t="s">
        <v>525</v>
      </c>
      <c r="E79" s="241" t="s">
        <v>525</v>
      </c>
      <c r="F79" s="241" t="s">
        <v>525</v>
      </c>
      <c r="G79" s="241" t="s">
        <v>525</v>
      </c>
      <c r="H79" s="242"/>
      <c r="J79" s="243"/>
      <c r="K79" s="243"/>
      <c r="L79" s="243"/>
      <c r="M79" s="244"/>
    </row>
    <row r="80" spans="1:13" s="234" customFormat="1" ht="25.9" customHeight="1" x14ac:dyDescent="0.25">
      <c r="A80" s="231">
        <f t="shared" si="0"/>
        <v>70</v>
      </c>
      <c r="B80" s="393"/>
      <c r="C80" s="232" t="s">
        <v>68</v>
      </c>
      <c r="D80" s="241" t="s">
        <v>526</v>
      </c>
      <c r="E80" s="241" t="s">
        <v>526</v>
      </c>
      <c r="F80" s="241" t="s">
        <v>526</v>
      </c>
      <c r="G80" s="241" t="s">
        <v>526</v>
      </c>
      <c r="H80" s="242"/>
      <c r="J80" s="243"/>
      <c r="K80" s="243"/>
      <c r="L80" s="243"/>
      <c r="M80" s="244"/>
    </row>
    <row r="81" spans="1:13" s="234" customFormat="1" ht="36.6" customHeight="1" x14ac:dyDescent="0.25">
      <c r="A81" s="231">
        <f t="shared" ref="A81:A95" si="2">A80+1</f>
        <v>71</v>
      </c>
      <c r="B81" s="393"/>
      <c r="C81" s="232" t="s">
        <v>47</v>
      </c>
      <c r="D81" s="245" t="s">
        <v>441</v>
      </c>
      <c r="E81" s="245" t="s">
        <v>441</v>
      </c>
      <c r="F81" s="245" t="s">
        <v>441</v>
      </c>
      <c r="G81" s="245" t="s">
        <v>441</v>
      </c>
      <c r="H81" s="246"/>
      <c r="J81" s="245"/>
      <c r="K81" s="245"/>
      <c r="L81" s="245"/>
      <c r="M81" s="240"/>
    </row>
    <row r="82" spans="1:13" s="234" customFormat="1" ht="26.45" customHeight="1" x14ac:dyDescent="0.25">
      <c r="A82" s="231" t="s">
        <v>283</v>
      </c>
      <c r="B82" s="393" t="s">
        <v>37</v>
      </c>
      <c r="C82" s="232" t="s">
        <v>320</v>
      </c>
      <c r="D82" s="236" t="s">
        <v>400</v>
      </c>
      <c r="E82" s="236" t="s">
        <v>401</v>
      </c>
      <c r="F82" s="372" t="s">
        <v>502</v>
      </c>
      <c r="G82" s="372"/>
      <c r="H82" s="247"/>
      <c r="I82" s="239">
        <v>925083</v>
      </c>
    </row>
    <row r="83" spans="1:13" s="234" customFormat="1" ht="26.45" customHeight="1" x14ac:dyDescent="0.25">
      <c r="A83" s="231" t="s">
        <v>284</v>
      </c>
      <c r="B83" s="393"/>
      <c r="C83" s="232" t="s">
        <v>321</v>
      </c>
      <c r="D83" s="237" t="s">
        <v>461</v>
      </c>
      <c r="E83" s="237" t="s">
        <v>501</v>
      </c>
      <c r="F83" s="372"/>
      <c r="G83" s="372"/>
      <c r="H83" s="233"/>
    </row>
    <row r="84" spans="1:13" s="234" customFormat="1" ht="26.45" customHeight="1" x14ac:dyDescent="0.25">
      <c r="A84" s="231" t="s">
        <v>285</v>
      </c>
      <c r="B84" s="393"/>
      <c r="C84" s="232" t="s">
        <v>74</v>
      </c>
      <c r="D84" s="239" t="s">
        <v>91</v>
      </c>
      <c r="E84" s="239" t="s">
        <v>91</v>
      </c>
      <c r="F84" s="372"/>
      <c r="G84" s="372"/>
      <c r="H84" s="233"/>
    </row>
    <row r="85" spans="1:13" s="234" customFormat="1" ht="26.45" customHeight="1" x14ac:dyDescent="0.25">
      <c r="A85" s="231" t="s">
        <v>286</v>
      </c>
      <c r="B85" s="393"/>
      <c r="C85" s="232" t="s">
        <v>69</v>
      </c>
      <c r="D85" s="239" t="s">
        <v>90</v>
      </c>
      <c r="E85" s="239" t="s">
        <v>90</v>
      </c>
      <c r="F85" s="372"/>
      <c r="G85" s="372"/>
      <c r="H85" s="233"/>
    </row>
    <row r="86" spans="1:13" s="234" customFormat="1" ht="53.45" customHeight="1" x14ac:dyDescent="0.25">
      <c r="A86" s="231" t="s">
        <v>287</v>
      </c>
      <c r="B86" s="393"/>
      <c r="C86" s="232" t="s">
        <v>26</v>
      </c>
      <c r="D86" s="237" t="s">
        <v>497</v>
      </c>
      <c r="E86" s="237" t="s">
        <v>498</v>
      </c>
      <c r="F86" s="372"/>
      <c r="G86" s="372"/>
      <c r="H86" s="233"/>
    </row>
    <row r="87" spans="1:13" s="234" customFormat="1" ht="24" customHeight="1" x14ac:dyDescent="0.25">
      <c r="A87" s="231" t="s">
        <v>288</v>
      </c>
      <c r="B87" s="393"/>
      <c r="C87" s="232" t="s">
        <v>67</v>
      </c>
      <c r="D87" s="241" t="s">
        <v>525</v>
      </c>
      <c r="E87" s="241" t="s">
        <v>525</v>
      </c>
      <c r="F87" s="372"/>
      <c r="G87" s="372"/>
      <c r="H87" s="233"/>
    </row>
    <row r="88" spans="1:13" s="234" customFormat="1" ht="24" customHeight="1" x14ac:dyDescent="0.25">
      <c r="A88" s="231" t="s">
        <v>289</v>
      </c>
      <c r="B88" s="393"/>
      <c r="C88" s="232" t="s">
        <v>68</v>
      </c>
      <c r="D88" s="241" t="s">
        <v>526</v>
      </c>
      <c r="E88" s="241" t="s">
        <v>526</v>
      </c>
      <c r="F88" s="372"/>
      <c r="G88" s="372"/>
      <c r="H88" s="233"/>
    </row>
    <row r="89" spans="1:13" s="234" customFormat="1" ht="44.45" customHeight="1" x14ac:dyDescent="0.25">
      <c r="A89" s="231" t="s">
        <v>290</v>
      </c>
      <c r="B89" s="393"/>
      <c r="C89" s="232" t="s">
        <v>47</v>
      </c>
      <c r="D89" s="245" t="s">
        <v>441</v>
      </c>
      <c r="E89" s="245" t="s">
        <v>441</v>
      </c>
      <c r="F89" s="372"/>
      <c r="G89" s="372"/>
      <c r="H89" s="233"/>
    </row>
    <row r="90" spans="1:13" s="234" customFormat="1" ht="31.15" customHeight="1" x14ac:dyDescent="0.25">
      <c r="A90" s="231">
        <f>A81+1</f>
        <v>72</v>
      </c>
      <c r="B90" s="397" t="s">
        <v>27</v>
      </c>
      <c r="C90" s="232" t="s">
        <v>322</v>
      </c>
      <c r="D90" s="372" t="s">
        <v>92</v>
      </c>
      <c r="E90" s="372"/>
      <c r="F90" s="372"/>
      <c r="G90" s="372"/>
      <c r="H90" s="233"/>
    </row>
    <row r="91" spans="1:13" s="234" customFormat="1" ht="31.15" customHeight="1" x14ac:dyDescent="0.25">
      <c r="A91" s="231">
        <f t="shared" si="2"/>
        <v>73</v>
      </c>
      <c r="B91" s="397"/>
      <c r="C91" s="232" t="s">
        <v>28</v>
      </c>
      <c r="D91" s="372" t="s">
        <v>93</v>
      </c>
      <c r="E91" s="372"/>
      <c r="F91" s="372"/>
      <c r="G91" s="372"/>
      <c r="H91" s="233"/>
    </row>
    <row r="92" spans="1:13" s="234" customFormat="1" ht="109.9" customHeight="1" x14ac:dyDescent="0.25">
      <c r="A92" s="231">
        <f t="shared" si="2"/>
        <v>74</v>
      </c>
      <c r="B92" s="248" t="s">
        <v>29</v>
      </c>
      <c r="C92" s="232" t="s">
        <v>421</v>
      </c>
      <c r="D92" s="398" t="s">
        <v>503</v>
      </c>
      <c r="E92" s="399"/>
      <c r="F92" s="399"/>
      <c r="G92" s="400"/>
      <c r="H92" s="233"/>
    </row>
    <row r="93" spans="1:13" s="234" customFormat="1" ht="43.9" customHeight="1" x14ac:dyDescent="0.25">
      <c r="A93" s="231">
        <f t="shared" si="2"/>
        <v>75</v>
      </c>
      <c r="B93" s="393" t="s">
        <v>30</v>
      </c>
      <c r="C93" s="232" t="s">
        <v>31</v>
      </c>
      <c r="D93" s="398" t="s">
        <v>83</v>
      </c>
      <c r="E93" s="399"/>
      <c r="F93" s="399"/>
      <c r="G93" s="400"/>
      <c r="H93" s="233"/>
    </row>
    <row r="94" spans="1:13" s="234" customFormat="1" ht="66.599999999999994" customHeight="1" x14ac:dyDescent="0.25">
      <c r="A94" s="231">
        <f t="shared" si="2"/>
        <v>76</v>
      </c>
      <c r="B94" s="393"/>
      <c r="C94" s="232" t="s">
        <v>32</v>
      </c>
      <c r="D94" s="398" t="s">
        <v>84</v>
      </c>
      <c r="E94" s="399"/>
      <c r="F94" s="399"/>
      <c r="G94" s="400"/>
      <c r="H94" s="233"/>
    </row>
    <row r="95" spans="1:13" s="234" customFormat="1" ht="43.9" customHeight="1" x14ac:dyDescent="0.25">
      <c r="A95" s="231">
        <f t="shared" si="2"/>
        <v>77</v>
      </c>
      <c r="B95" s="393"/>
      <c r="C95" s="232" t="s">
        <v>50</v>
      </c>
      <c r="D95" s="398" t="s">
        <v>89</v>
      </c>
      <c r="E95" s="399"/>
      <c r="F95" s="399"/>
      <c r="G95" s="400"/>
      <c r="H95" s="233"/>
    </row>
    <row r="96" spans="1:13" ht="17.45" customHeight="1" x14ac:dyDescent="0.25">
      <c r="A96" s="6"/>
      <c r="B96" s="7"/>
      <c r="C96" s="8"/>
      <c r="D96" s="9"/>
      <c r="E96" s="15"/>
      <c r="F96" s="15"/>
    </row>
    <row r="97" spans="1:8" ht="54.6" customHeight="1" x14ac:dyDescent="0.25">
      <c r="A97" s="6"/>
      <c r="B97" s="7"/>
      <c r="C97" s="8"/>
      <c r="D97" s="9"/>
      <c r="E97" s="15"/>
      <c r="F97" s="15"/>
    </row>
    <row r="98" spans="1:8" ht="17.45" customHeight="1" x14ac:dyDescent="0.25">
      <c r="A98" s="204"/>
      <c r="B98" s="205"/>
      <c r="C98" s="206"/>
      <c r="D98" s="373"/>
      <c r="E98" s="373"/>
      <c r="F98" s="373"/>
      <c r="G98" s="373"/>
      <c r="H98" s="8"/>
    </row>
    <row r="99" spans="1:8" ht="17.45" customHeight="1" x14ac:dyDescent="0.25">
      <c r="A99" s="204"/>
      <c r="B99" s="205"/>
      <c r="C99" s="206"/>
      <c r="D99" s="201"/>
      <c r="E99" s="373"/>
      <c r="F99" s="373"/>
      <c r="G99" s="202"/>
    </row>
    <row r="100" spans="1:8" ht="17.45" customHeight="1" x14ac:dyDescent="0.25">
      <c r="A100" s="204"/>
      <c r="B100" s="205"/>
      <c r="C100" s="206"/>
      <c r="D100" s="201"/>
      <c r="E100" s="373"/>
      <c r="F100" s="373"/>
      <c r="G100" s="202"/>
    </row>
    <row r="101" spans="1:8" ht="17.45" customHeight="1" x14ac:dyDescent="0.25">
      <c r="A101" s="199"/>
      <c r="B101" s="203"/>
      <c r="C101" s="200"/>
      <c r="D101" s="200"/>
      <c r="E101" s="200"/>
      <c r="F101" s="200"/>
      <c r="G101" s="200"/>
      <c r="H101" s="8"/>
    </row>
    <row r="102" spans="1:8" ht="17.45" customHeight="1" x14ac:dyDescent="0.25">
      <c r="A102" s="392"/>
      <c r="B102" s="392"/>
      <c r="C102" s="392"/>
      <c r="D102" s="392"/>
      <c r="E102" s="392"/>
      <c r="F102" s="392"/>
      <c r="G102" s="392"/>
      <c r="H102" s="142"/>
    </row>
    <row r="103" spans="1:8" ht="17.45" customHeight="1" x14ac:dyDescent="0.25">
      <c r="A103" s="404"/>
      <c r="B103" s="404"/>
      <c r="C103" s="404"/>
      <c r="D103" s="404"/>
      <c r="E103" s="404"/>
      <c r="F103" s="404"/>
      <c r="G103" s="404"/>
      <c r="H103" s="144"/>
    </row>
    <row r="104" spans="1:8" ht="17.45" customHeight="1" x14ac:dyDescent="0.25">
      <c r="A104" s="404"/>
      <c r="B104" s="404"/>
      <c r="C104" s="404"/>
      <c r="D104" s="404"/>
      <c r="E104" s="404"/>
      <c r="F104" s="404"/>
      <c r="G104" s="404"/>
      <c r="H104" s="144"/>
    </row>
    <row r="105" spans="1:8" ht="17.45" customHeight="1" x14ac:dyDescent="0.25">
      <c r="A105" s="6"/>
      <c r="B105" s="7"/>
      <c r="C105" s="8"/>
      <c r="D105" s="374"/>
      <c r="E105" s="374"/>
      <c r="F105" s="374"/>
      <c r="G105" s="374"/>
      <c r="H105" s="143"/>
    </row>
    <row r="106" spans="1:8" ht="17.45" customHeight="1" x14ac:dyDescent="0.25">
      <c r="A106" s="10"/>
      <c r="B106" s="11"/>
      <c r="C106" s="12"/>
      <c r="D106" s="13"/>
      <c r="E106" s="15"/>
      <c r="F106" s="15"/>
    </row>
    <row r="107" spans="1:8" x14ac:dyDescent="0.25">
      <c r="A107" s="10"/>
      <c r="B107" s="11"/>
      <c r="C107" s="12"/>
      <c r="D107" s="13"/>
      <c r="E107" s="15"/>
      <c r="F107" s="15"/>
    </row>
    <row r="108" spans="1:8" x14ac:dyDescent="0.25">
      <c r="A108" s="14"/>
      <c r="B108" s="11"/>
      <c r="C108" s="12"/>
      <c r="D108" s="13"/>
      <c r="E108" s="15"/>
      <c r="F108" s="15"/>
    </row>
    <row r="109" spans="1:8" x14ac:dyDescent="0.25">
      <c r="A109" s="14"/>
      <c r="B109" s="11"/>
      <c r="C109" s="12"/>
      <c r="D109" s="13"/>
      <c r="E109" s="54"/>
      <c r="F109" s="54"/>
    </row>
    <row r="110" spans="1:8" x14ac:dyDescent="0.25">
      <c r="A110" s="14"/>
      <c r="B110" s="375"/>
      <c r="C110" s="375"/>
      <c r="D110" s="13"/>
    </row>
    <row r="111" spans="1:8" x14ac:dyDescent="0.25">
      <c r="A111" s="14"/>
      <c r="B111" s="375"/>
      <c r="C111" s="375"/>
      <c r="D111" s="13"/>
    </row>
    <row r="112" spans="1:8" x14ac:dyDescent="0.25">
      <c r="A112" s="14"/>
      <c r="B112" s="375"/>
      <c r="C112" s="375"/>
      <c r="D112" s="13"/>
    </row>
    <row r="113" spans="1:4" x14ac:dyDescent="0.25">
      <c r="A113" s="14"/>
      <c r="C113" s="16"/>
      <c r="D113" s="17"/>
    </row>
    <row r="114" spans="1:4" x14ac:dyDescent="0.25">
      <c r="A114" s="14"/>
    </row>
    <row r="115" spans="1:4" x14ac:dyDescent="0.25">
      <c r="A115" s="18"/>
    </row>
  </sheetData>
  <mergeCells count="133">
    <mergeCell ref="A29:A30"/>
    <mergeCell ref="C29:C30"/>
    <mergeCell ref="B5:B26"/>
    <mergeCell ref="D24:G24"/>
    <mergeCell ref="D26:G26"/>
    <mergeCell ref="D15:G15"/>
    <mergeCell ref="D17:G17"/>
    <mergeCell ref="D9:G9"/>
    <mergeCell ref="D10:G10"/>
    <mergeCell ref="D11:G11"/>
    <mergeCell ref="D12:G12"/>
    <mergeCell ref="D13:G13"/>
    <mergeCell ref="D14:G14"/>
    <mergeCell ref="D18:G18"/>
    <mergeCell ref="D20:G20"/>
    <mergeCell ref="D21:G21"/>
    <mergeCell ref="D22:G22"/>
    <mergeCell ref="D23:G23"/>
    <mergeCell ref="A15:A16"/>
    <mergeCell ref="C15:C16"/>
    <mergeCell ref="D16:G16"/>
    <mergeCell ref="D19:G19"/>
    <mergeCell ref="C18:C19"/>
    <mergeCell ref="A18:A19"/>
    <mergeCell ref="A1:G1"/>
    <mergeCell ref="A2:G2"/>
    <mergeCell ref="A3:B3"/>
    <mergeCell ref="C3:G3"/>
    <mergeCell ref="D4:G4"/>
    <mergeCell ref="D5:G5"/>
    <mergeCell ref="D6:G6"/>
    <mergeCell ref="D7:G7"/>
    <mergeCell ref="D8:G8"/>
    <mergeCell ref="D31:G31"/>
    <mergeCell ref="D32:G32"/>
    <mergeCell ref="B33:B39"/>
    <mergeCell ref="D33:E33"/>
    <mergeCell ref="F33:G33"/>
    <mergeCell ref="D34:E34"/>
    <mergeCell ref="F34:G34"/>
    <mergeCell ref="D35:E35"/>
    <mergeCell ref="F35:G35"/>
    <mergeCell ref="D36:E36"/>
    <mergeCell ref="B27:B32"/>
    <mergeCell ref="D29:G29"/>
    <mergeCell ref="D27:G27"/>
    <mergeCell ref="D28:G28"/>
    <mergeCell ref="D30:G30"/>
    <mergeCell ref="B48:B50"/>
    <mergeCell ref="D48:G48"/>
    <mergeCell ref="D49:G49"/>
    <mergeCell ref="D50:E50"/>
    <mergeCell ref="F50:G50"/>
    <mergeCell ref="F36:G36"/>
    <mergeCell ref="D39:G39"/>
    <mergeCell ref="B40:B43"/>
    <mergeCell ref="D40:G40"/>
    <mergeCell ref="D41:G41"/>
    <mergeCell ref="D42:G42"/>
    <mergeCell ref="D43:G43"/>
    <mergeCell ref="D37:E37"/>
    <mergeCell ref="F37:G37"/>
    <mergeCell ref="D38:G38"/>
    <mergeCell ref="B112:C112"/>
    <mergeCell ref="A24:A25"/>
    <mergeCell ref="C24:C25"/>
    <mergeCell ref="D25:G25"/>
    <mergeCell ref="B74:B81"/>
    <mergeCell ref="B90:B91"/>
    <mergeCell ref="D90:G90"/>
    <mergeCell ref="D91:G91"/>
    <mergeCell ref="D92:G92"/>
    <mergeCell ref="B93:B95"/>
    <mergeCell ref="D93:G93"/>
    <mergeCell ref="D94:G94"/>
    <mergeCell ref="D95:G95"/>
    <mergeCell ref="B69:B73"/>
    <mergeCell ref="D69:G69"/>
    <mergeCell ref="D70:G70"/>
    <mergeCell ref="D71:G71"/>
    <mergeCell ref="D72:G72"/>
    <mergeCell ref="D73:G73"/>
    <mergeCell ref="A104:G104"/>
    <mergeCell ref="A103:G103"/>
    <mergeCell ref="D56:E56"/>
    <mergeCell ref="F56:G56"/>
    <mergeCell ref="B57:B59"/>
    <mergeCell ref="B111:C111"/>
    <mergeCell ref="D60:G60"/>
    <mergeCell ref="D68:E68"/>
    <mergeCell ref="D67:E67"/>
    <mergeCell ref="D66:E66"/>
    <mergeCell ref="D65:E65"/>
    <mergeCell ref="D64:E64"/>
    <mergeCell ref="F67:G67"/>
    <mergeCell ref="F68:G68"/>
    <mergeCell ref="D63:E63"/>
    <mergeCell ref="D62:E62"/>
    <mergeCell ref="D61:E61"/>
    <mergeCell ref="F61:G61"/>
    <mergeCell ref="F62:G62"/>
    <mergeCell ref="F63:G63"/>
    <mergeCell ref="F64:G64"/>
    <mergeCell ref="F65:G65"/>
    <mergeCell ref="F66:G66"/>
    <mergeCell ref="A102:G102"/>
    <mergeCell ref="B82:B89"/>
    <mergeCell ref="F82:G89"/>
    <mergeCell ref="D98:G98"/>
    <mergeCell ref="A36:A37"/>
    <mergeCell ref="B60:B68"/>
    <mergeCell ref="E100:F100"/>
    <mergeCell ref="E99:F99"/>
    <mergeCell ref="D105:G105"/>
    <mergeCell ref="B110:C110"/>
    <mergeCell ref="D57:G57"/>
    <mergeCell ref="D58:G58"/>
    <mergeCell ref="D59:G59"/>
    <mergeCell ref="B51:B53"/>
    <mergeCell ref="D51:G51"/>
    <mergeCell ref="D52:G52"/>
    <mergeCell ref="D53:E53"/>
    <mergeCell ref="F53:G53"/>
    <mergeCell ref="B54:B56"/>
    <mergeCell ref="D54:E54"/>
    <mergeCell ref="F54:G54"/>
    <mergeCell ref="D55:E55"/>
    <mergeCell ref="F55:G55"/>
    <mergeCell ref="B44:B47"/>
    <mergeCell ref="D44:G44"/>
    <mergeCell ref="D45:G45"/>
    <mergeCell ref="D46:G46"/>
    <mergeCell ref="D47:G47"/>
  </mergeCells>
  <pageMargins left="0.7" right="0.7" top="0.75" bottom="0.75" header="0.3" footer="0.3"/>
  <pageSetup paperSize="9" scale="82" fitToHeight="0" orientation="portrait" r:id="rId1"/>
  <rowBreaks count="4" manualBreakCount="4">
    <brk id="26" max="16383" man="1"/>
    <brk id="43" max="16383" man="1"/>
    <brk id="68" max="16383" man="1"/>
    <brk id="91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30"/>
  <sheetViews>
    <sheetView topLeftCell="A7" zoomScale="120" zoomScaleNormal="120" workbookViewId="0">
      <selection activeCell="J9" sqref="J9:J10"/>
    </sheetView>
  </sheetViews>
  <sheetFormatPr defaultColWidth="8.85546875" defaultRowHeight="15.75" x14ac:dyDescent="0.25"/>
  <cols>
    <col min="1" max="3" width="5" style="21" customWidth="1"/>
    <col min="4" max="4" width="8.28515625" style="21" customWidth="1"/>
    <col min="5" max="6" width="6.7109375" style="21" customWidth="1"/>
    <col min="7" max="7" width="4.28515625" style="21" customWidth="1"/>
    <col min="8" max="15" width="5" style="21" customWidth="1"/>
    <col min="16" max="16" width="7.140625" style="21" customWidth="1"/>
    <col min="17" max="20" width="5.42578125" style="21" customWidth="1"/>
    <col min="21" max="16384" width="8.85546875" style="21"/>
  </cols>
  <sheetData>
    <row r="1" spans="1:22" ht="75" customHeight="1" x14ac:dyDescent="0.25">
      <c r="A1" s="451" t="s">
        <v>100</v>
      </c>
      <c r="B1" s="451"/>
      <c r="C1" s="451"/>
      <c r="D1" s="451"/>
      <c r="E1" s="451"/>
      <c r="F1" s="451"/>
      <c r="G1" s="451"/>
      <c r="H1" s="451"/>
      <c r="I1" s="451"/>
      <c r="J1" s="451"/>
      <c r="K1" s="451"/>
      <c r="L1" s="451"/>
      <c r="M1" s="451"/>
      <c r="N1" s="451"/>
      <c r="O1" s="451"/>
      <c r="P1" s="451"/>
      <c r="Q1" s="20"/>
      <c r="R1" s="20"/>
      <c r="S1" s="20"/>
      <c r="T1" s="20"/>
    </row>
    <row r="2" spans="1:22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spans="1:22" ht="37.9" customHeight="1" x14ac:dyDescent="0.25">
      <c r="A3" s="452" t="s">
        <v>119</v>
      </c>
      <c r="B3" s="452"/>
      <c r="C3" s="452"/>
      <c r="D3" s="452"/>
      <c r="E3" s="453" t="str">
        <f>'Annexure A'!C3</f>
        <v>Construction of High Level Bridge across Cauvery river ar km 315/6-316/2 of Chennai- Trichy-Dindugal road (SHU-9) in between Trichy and Srirangam</v>
      </c>
      <c r="F3" s="453"/>
      <c r="G3" s="453"/>
      <c r="H3" s="453"/>
      <c r="I3" s="453"/>
      <c r="J3" s="453"/>
      <c r="K3" s="453"/>
      <c r="L3" s="453"/>
      <c r="M3" s="453"/>
      <c r="N3" s="453"/>
      <c r="O3" s="453"/>
      <c r="P3" s="453"/>
      <c r="Q3" s="19"/>
      <c r="R3" s="19"/>
      <c r="S3" s="19"/>
      <c r="T3" s="19"/>
    </row>
    <row r="4" spans="1:22" ht="7.9" customHeight="1" x14ac:dyDescent="0.25">
      <c r="A4" s="454"/>
      <c r="B4" s="454"/>
      <c r="C4" s="454"/>
      <c r="D4" s="454"/>
      <c r="E4" s="453"/>
      <c r="F4" s="453"/>
      <c r="G4" s="453"/>
      <c r="H4" s="453"/>
      <c r="I4" s="453"/>
      <c r="J4" s="453"/>
      <c r="K4" s="453"/>
      <c r="L4" s="453"/>
      <c r="M4" s="453"/>
      <c r="N4" s="453"/>
      <c r="O4" s="453"/>
      <c r="P4" s="453"/>
      <c r="Q4" s="19"/>
      <c r="R4" s="19"/>
      <c r="S4" s="19"/>
      <c r="T4" s="19"/>
    </row>
    <row r="5" spans="1:22" x14ac:dyDescent="0.25">
      <c r="A5" s="454" t="s">
        <v>101</v>
      </c>
      <c r="B5" s="454"/>
      <c r="C5" s="454"/>
      <c r="D5" s="454"/>
      <c r="E5" s="453" t="str">
        <f>'Annexure A'!D5</f>
        <v xml:space="preserve">Near A1 side </v>
      </c>
      <c r="F5" s="453"/>
      <c r="G5" s="453"/>
      <c r="H5" s="453"/>
      <c r="I5" s="453"/>
      <c r="J5" s="453"/>
      <c r="K5" s="453"/>
      <c r="L5" s="453"/>
      <c r="M5" s="453"/>
      <c r="N5" s="453"/>
      <c r="O5" s="453"/>
      <c r="P5" s="453"/>
      <c r="Q5" s="19"/>
      <c r="R5" s="19"/>
      <c r="S5" s="19"/>
      <c r="T5" s="19"/>
    </row>
    <row r="6" spans="1:22" x14ac:dyDescent="0.25">
      <c r="A6" s="454" t="s">
        <v>102</v>
      </c>
      <c r="B6" s="454"/>
      <c r="C6" s="454"/>
      <c r="D6" s="454"/>
      <c r="E6" s="455">
        <f>'Annexure A'!D8</f>
        <v>315.62200000000001</v>
      </c>
      <c r="F6" s="455"/>
      <c r="G6" s="455"/>
      <c r="H6" s="455"/>
      <c r="I6" s="455"/>
      <c r="J6" s="455"/>
      <c r="K6" s="455"/>
      <c r="L6" s="455"/>
      <c r="M6" s="455"/>
      <c r="N6" s="455"/>
      <c r="O6" s="455"/>
      <c r="P6" s="455"/>
      <c r="Q6" s="22"/>
      <c r="R6" s="22"/>
      <c r="S6" s="22"/>
      <c r="T6" s="22"/>
    </row>
    <row r="8" spans="1:22" ht="21.6" customHeight="1" thickBot="1" x14ac:dyDescent="0.3">
      <c r="B8" s="447"/>
      <c r="C8" s="447"/>
      <c r="D8" s="27"/>
      <c r="E8" s="456"/>
      <c r="F8" s="456"/>
      <c r="G8" s="456"/>
      <c r="H8" s="456"/>
      <c r="J8" s="28"/>
      <c r="K8" s="457" t="s">
        <v>103</v>
      </c>
      <c r="L8" s="457"/>
      <c r="M8" s="457"/>
      <c r="N8" s="457"/>
      <c r="O8" s="457"/>
      <c r="P8" s="457"/>
      <c r="Q8" s="457"/>
      <c r="R8" s="457"/>
      <c r="S8" s="457"/>
      <c r="T8" s="457"/>
    </row>
    <row r="9" spans="1:22" ht="12" customHeight="1" x14ac:dyDescent="0.25">
      <c r="B9" s="447" t="s">
        <v>104</v>
      </c>
      <c r="C9" s="447"/>
      <c r="D9" s="27">
        <f>'Annexure A'!D11:G11</f>
        <v>67.58</v>
      </c>
      <c r="E9" s="448"/>
      <c r="F9" s="449"/>
      <c r="G9" s="449"/>
      <c r="H9" s="450"/>
      <c r="I9" s="26"/>
      <c r="J9" s="28">
        <f>D9-D10</f>
        <v>-35.400000000000006</v>
      </c>
    </row>
    <row r="10" spans="1:22" ht="10.9" customHeight="1" x14ac:dyDescent="0.25">
      <c r="B10" s="447"/>
      <c r="C10" s="447"/>
      <c r="D10" s="27">
        <v>102.98</v>
      </c>
      <c r="E10" s="459"/>
      <c r="F10" s="460"/>
      <c r="G10" s="460"/>
      <c r="H10" s="461"/>
      <c r="I10" s="26"/>
      <c r="J10" s="28">
        <f>D10-D11</f>
        <v>35.510000000000005</v>
      </c>
      <c r="L10" s="24"/>
      <c r="M10" s="458"/>
      <c r="N10" s="458"/>
      <c r="O10" s="458"/>
      <c r="P10" s="458"/>
      <c r="Q10" s="458"/>
      <c r="R10" s="458"/>
      <c r="S10" s="458"/>
      <c r="T10" s="458"/>
      <c r="U10" s="24"/>
      <c r="V10" s="25"/>
    </row>
    <row r="11" spans="1:22" ht="13.9" customHeight="1" x14ac:dyDescent="0.25">
      <c r="B11" s="447" t="s">
        <v>105</v>
      </c>
      <c r="C11" s="447"/>
      <c r="D11" s="27">
        <f>'Annexure A'!D9:G9</f>
        <v>67.47</v>
      </c>
      <c r="E11" s="462" t="s">
        <v>292</v>
      </c>
      <c r="F11" s="463"/>
      <c r="G11" s="463"/>
      <c r="H11" s="464"/>
      <c r="I11" s="26"/>
      <c r="J11" s="28">
        <f>D11-D12</f>
        <v>1.5</v>
      </c>
      <c r="L11" s="24" t="s">
        <v>106</v>
      </c>
      <c r="M11" s="458" t="s">
        <v>324</v>
      </c>
      <c r="N11" s="458"/>
      <c r="O11" s="458"/>
      <c r="P11" s="458"/>
      <c r="Q11" s="458"/>
      <c r="R11" s="458"/>
      <c r="S11" s="458"/>
      <c r="T11" s="458"/>
      <c r="U11" s="24"/>
      <c r="V11" s="25"/>
    </row>
    <row r="12" spans="1:22" ht="24" customHeight="1" x14ac:dyDescent="0.25">
      <c r="B12" s="447" t="s">
        <v>116</v>
      </c>
      <c r="C12" s="447"/>
      <c r="D12" s="27">
        <f>'Annexure A'!D10:G10</f>
        <v>65.97</v>
      </c>
      <c r="E12" s="465"/>
      <c r="F12" s="466"/>
      <c r="G12" s="466"/>
      <c r="H12" s="467"/>
      <c r="I12" s="105"/>
      <c r="J12" s="28">
        <f>1.5-J11-J10</f>
        <v>-35.510000000000005</v>
      </c>
      <c r="L12" s="24" t="s">
        <v>107</v>
      </c>
      <c r="M12" s="458" t="s">
        <v>324</v>
      </c>
      <c r="N12" s="458"/>
      <c r="O12" s="458"/>
      <c r="P12" s="458"/>
      <c r="Q12" s="458"/>
      <c r="R12" s="458"/>
      <c r="S12" s="458"/>
      <c r="T12" s="458"/>
      <c r="U12" s="24"/>
      <c r="V12" s="25"/>
    </row>
    <row r="13" spans="1:22" ht="28.15" customHeight="1" x14ac:dyDescent="0.25">
      <c r="B13" s="447"/>
      <c r="C13" s="447"/>
      <c r="D13" s="27">
        <f>D12-J12</f>
        <v>101.48</v>
      </c>
      <c r="E13" s="465"/>
      <c r="F13" s="466"/>
      <c r="G13" s="466"/>
      <c r="H13" s="467"/>
      <c r="I13" s="105"/>
      <c r="J13" s="28">
        <v>1.5</v>
      </c>
      <c r="L13" s="24" t="s">
        <v>108</v>
      </c>
      <c r="M13" s="458" t="s">
        <v>325</v>
      </c>
      <c r="N13" s="458"/>
      <c r="O13" s="458"/>
      <c r="P13" s="458"/>
      <c r="Q13" s="458"/>
      <c r="R13" s="458"/>
      <c r="S13" s="458"/>
      <c r="T13" s="458"/>
      <c r="U13" s="24"/>
      <c r="V13" s="25"/>
    </row>
    <row r="14" spans="1:22" ht="28.15" customHeight="1" x14ac:dyDescent="0.25">
      <c r="B14" s="447"/>
      <c r="C14" s="447"/>
      <c r="D14" s="27">
        <f>D13-J13</f>
        <v>99.98</v>
      </c>
      <c r="E14" s="465"/>
      <c r="F14" s="466"/>
      <c r="G14" s="466"/>
      <c r="H14" s="467"/>
      <c r="I14" s="105"/>
      <c r="J14" s="28">
        <v>1.5</v>
      </c>
      <c r="L14" s="24" t="s">
        <v>109</v>
      </c>
      <c r="M14" s="458" t="s">
        <v>326</v>
      </c>
      <c r="N14" s="458"/>
      <c r="O14" s="458"/>
      <c r="P14" s="458"/>
      <c r="Q14" s="458"/>
      <c r="R14" s="458"/>
      <c r="S14" s="458"/>
      <c r="T14" s="458"/>
      <c r="U14" s="24"/>
      <c r="V14" s="25"/>
    </row>
    <row r="15" spans="1:22" ht="21.6" customHeight="1" x14ac:dyDescent="0.25">
      <c r="B15" s="447"/>
      <c r="C15" s="447"/>
      <c r="D15" s="27">
        <f>D14-J14</f>
        <v>98.48</v>
      </c>
      <c r="E15" s="468"/>
      <c r="F15" s="469"/>
      <c r="G15" s="469"/>
      <c r="H15" s="470"/>
      <c r="I15" s="105"/>
      <c r="J15" s="28">
        <f>D15-D16</f>
        <v>0.95000000000000284</v>
      </c>
      <c r="L15" s="24" t="s">
        <v>110</v>
      </c>
      <c r="M15" s="458" t="s">
        <v>327</v>
      </c>
      <c r="N15" s="458"/>
      <c r="O15" s="458"/>
      <c r="P15" s="458"/>
      <c r="Q15" s="458"/>
      <c r="R15" s="458"/>
      <c r="S15" s="458"/>
      <c r="T15" s="458"/>
      <c r="U15" s="24"/>
      <c r="V15" s="25"/>
    </row>
    <row r="16" spans="1:22" ht="15.6" customHeight="1" x14ac:dyDescent="0.25">
      <c r="A16" s="447" t="s">
        <v>329</v>
      </c>
      <c r="B16" s="447"/>
      <c r="C16" s="447"/>
      <c r="D16" s="27">
        <v>97.53</v>
      </c>
      <c r="E16" s="471">
        <f>'Annexure A'!D22</f>
        <v>1.2</v>
      </c>
      <c r="F16" s="471"/>
      <c r="G16" s="471"/>
      <c r="H16" s="471"/>
      <c r="L16" s="456"/>
      <c r="M16" s="456"/>
      <c r="N16" s="456"/>
      <c r="O16" s="456"/>
      <c r="P16" s="456"/>
      <c r="Q16" s="456"/>
      <c r="R16" s="456"/>
      <c r="S16" s="456"/>
      <c r="T16" s="456"/>
    </row>
    <row r="18" spans="1:26" ht="46.15" customHeight="1" x14ac:dyDescent="0.25">
      <c r="A18" s="31" t="s">
        <v>111</v>
      </c>
      <c r="B18" s="31" t="s">
        <v>123</v>
      </c>
      <c r="C18" s="31" t="s">
        <v>118</v>
      </c>
      <c r="D18" s="31" t="s">
        <v>118</v>
      </c>
      <c r="E18" s="31" t="s">
        <v>121</v>
      </c>
      <c r="F18" s="31" t="s">
        <v>124</v>
      </c>
      <c r="G18" s="31" t="s">
        <v>125</v>
      </c>
      <c r="H18" s="31" t="s">
        <v>126</v>
      </c>
      <c r="I18" s="31" t="s">
        <v>127</v>
      </c>
      <c r="J18" s="31" t="s">
        <v>112</v>
      </c>
      <c r="K18" s="31" t="s">
        <v>113</v>
      </c>
      <c r="L18" s="31" t="s">
        <v>117</v>
      </c>
      <c r="M18" s="31" t="s">
        <v>114</v>
      </c>
      <c r="N18" s="31" t="s">
        <v>128</v>
      </c>
      <c r="O18" s="31" t="s">
        <v>122</v>
      </c>
      <c r="P18" s="31" t="s">
        <v>130</v>
      </c>
      <c r="Q18" s="31" t="s">
        <v>131</v>
      </c>
      <c r="R18" s="31" t="s">
        <v>115</v>
      </c>
      <c r="S18" s="31" t="s">
        <v>129</v>
      </c>
      <c r="T18" s="31" t="s">
        <v>120</v>
      </c>
    </row>
    <row r="19" spans="1:26" ht="23.45" customHeight="1" x14ac:dyDescent="0.25">
      <c r="A19" s="34">
        <v>1</v>
      </c>
      <c r="B19" s="35">
        <f>J11</f>
        <v>1.5</v>
      </c>
      <c r="C19" s="34">
        <v>17.8</v>
      </c>
      <c r="D19" s="35">
        <f>ROUND(C19/9.81,3)</f>
        <v>1.8140000000000001</v>
      </c>
      <c r="E19" s="106">
        <v>8.1999999999999993</v>
      </c>
      <c r="F19" s="35">
        <f>ROUND(D19/(1+E19/100),3)</f>
        <v>1.677</v>
      </c>
      <c r="G19" s="35">
        <f>F19</f>
        <v>1.677</v>
      </c>
      <c r="H19" s="35"/>
      <c r="I19" s="35">
        <v>1.2</v>
      </c>
      <c r="J19" s="34">
        <v>33.4</v>
      </c>
      <c r="K19" s="34">
        <v>1.5</v>
      </c>
      <c r="L19" s="34">
        <v>14.42</v>
      </c>
      <c r="M19" s="34">
        <v>0.4</v>
      </c>
      <c r="N19" s="34">
        <v>0</v>
      </c>
      <c r="O19" s="35">
        <f>B19</f>
        <v>1.5</v>
      </c>
      <c r="P19" s="35">
        <f>O19*(G19+H19)</f>
        <v>2.5155000000000003</v>
      </c>
      <c r="Q19" s="34">
        <f>ROUND(P19/2,3)</f>
        <v>1.258</v>
      </c>
      <c r="R19" s="35">
        <f t="shared" ref="R19:R23" si="0">TAN(RADIANS(J19))</f>
        <v>0.65937850991577707</v>
      </c>
      <c r="S19" s="34">
        <f>ROUND((22*B19*I19/7),3)</f>
        <v>5.657</v>
      </c>
      <c r="T19" s="35">
        <f>((K19*Q19*R19+M19*N19)*S19)+M19*N19*S19</f>
        <v>7.0387066831300311</v>
      </c>
      <c r="U19" s="29"/>
      <c r="V19" s="34"/>
      <c r="W19" s="106"/>
      <c r="X19" s="34"/>
      <c r="Y19" s="33"/>
      <c r="Z19" s="33"/>
    </row>
    <row r="20" spans="1:26" ht="23.45" customHeight="1" x14ac:dyDescent="0.25">
      <c r="A20" s="34">
        <v>2</v>
      </c>
      <c r="B20" s="35">
        <f>J12</f>
        <v>-35.510000000000005</v>
      </c>
      <c r="C20" s="34">
        <v>17.8</v>
      </c>
      <c r="D20" s="35">
        <f t="shared" ref="D20:D23" si="1">ROUND(C20/9.81,3)</f>
        <v>1.8140000000000001</v>
      </c>
      <c r="E20" s="106">
        <v>8.1999999999999993</v>
      </c>
      <c r="F20" s="35">
        <f t="shared" ref="F20:F23" si="2">ROUND(D20/(1+E20/100),3)</f>
        <v>1.677</v>
      </c>
      <c r="G20" s="35"/>
      <c r="H20" s="35">
        <f t="shared" ref="H20" si="3">F20-1</f>
        <v>0.67700000000000005</v>
      </c>
      <c r="I20" s="35">
        <v>1.2</v>
      </c>
      <c r="J20" s="34">
        <v>33.4</v>
      </c>
      <c r="K20" s="34">
        <v>1.5</v>
      </c>
      <c r="L20" s="34">
        <v>14.42</v>
      </c>
      <c r="M20" s="34">
        <v>0.4</v>
      </c>
      <c r="N20" s="34">
        <v>0</v>
      </c>
      <c r="O20" s="35">
        <f>O19+B20</f>
        <v>-34.010000000000005</v>
      </c>
      <c r="P20" s="35">
        <f t="shared" ref="P20:P23" si="4">O20*(G20+H20)</f>
        <v>-23.024770000000004</v>
      </c>
      <c r="Q20" s="34">
        <f>ROUND((P20+P17)/2,3)</f>
        <v>-11.512</v>
      </c>
      <c r="R20" s="35">
        <f t="shared" si="0"/>
        <v>0.65937850991577707</v>
      </c>
      <c r="S20" s="34">
        <f t="shared" ref="S20:S23" si="5">ROUND((22*B20*I20/7),3)</f>
        <v>-133.923</v>
      </c>
      <c r="T20" s="35">
        <f t="shared" ref="T20:T23" si="6">((K20*Q20*R20+M20*N20)*S20)+M20*N20*S20</f>
        <v>1524.8671132318252</v>
      </c>
      <c r="U20" s="29"/>
      <c r="V20" s="34"/>
      <c r="W20" s="106"/>
      <c r="X20" s="34"/>
    </row>
    <row r="21" spans="1:26" ht="23.45" customHeight="1" x14ac:dyDescent="0.25">
      <c r="A21" s="34">
        <v>3</v>
      </c>
      <c r="B21" s="35">
        <f>J13</f>
        <v>1.5</v>
      </c>
      <c r="C21" s="34">
        <v>18.100000000000001</v>
      </c>
      <c r="D21" s="35">
        <f t="shared" si="1"/>
        <v>1.845</v>
      </c>
      <c r="E21" s="106">
        <v>8.5</v>
      </c>
      <c r="F21" s="35">
        <f t="shared" si="2"/>
        <v>1.7</v>
      </c>
      <c r="G21" s="35"/>
      <c r="H21" s="35">
        <f>F21-1</f>
        <v>0.7</v>
      </c>
      <c r="I21" s="35">
        <v>1.2</v>
      </c>
      <c r="J21" s="34">
        <v>34.200000000000003</v>
      </c>
      <c r="K21" s="34">
        <v>1.5</v>
      </c>
      <c r="L21" s="34">
        <v>15.98</v>
      </c>
      <c r="M21" s="34">
        <v>0.3</v>
      </c>
      <c r="N21" s="34">
        <v>0</v>
      </c>
      <c r="O21" s="35">
        <f t="shared" ref="O21:O23" si="7">O20+B21</f>
        <v>-32.510000000000005</v>
      </c>
      <c r="P21" s="35">
        <f t="shared" si="4"/>
        <v>-22.757000000000001</v>
      </c>
      <c r="Q21" s="34">
        <f t="shared" ref="Q21" si="8">ROUND((P21+P20)/2,3)</f>
        <v>-22.890999999999998</v>
      </c>
      <c r="R21" s="35">
        <f t="shared" si="0"/>
        <v>0.67959929822452658</v>
      </c>
      <c r="S21" s="34">
        <f t="shared" si="5"/>
        <v>5.657</v>
      </c>
      <c r="T21" s="35">
        <f t="shared" si="6"/>
        <v>-132.00644179382289</v>
      </c>
      <c r="U21" s="29"/>
      <c r="V21" s="34"/>
      <c r="W21" s="106"/>
      <c r="X21" s="34"/>
    </row>
    <row r="22" spans="1:26" ht="23.45" customHeight="1" x14ac:dyDescent="0.25">
      <c r="A22" s="34">
        <v>4</v>
      </c>
      <c r="B22" s="35">
        <f>J14</f>
        <v>1.5</v>
      </c>
      <c r="C22" s="34">
        <v>18.399999999999999</v>
      </c>
      <c r="D22" s="35">
        <f t="shared" si="1"/>
        <v>1.8759999999999999</v>
      </c>
      <c r="E22" s="106">
        <v>8.6</v>
      </c>
      <c r="F22" s="35">
        <f t="shared" si="2"/>
        <v>1.7270000000000001</v>
      </c>
      <c r="G22" s="35"/>
      <c r="H22" s="35">
        <f t="shared" ref="H22" si="9">F22-1</f>
        <v>0.72700000000000009</v>
      </c>
      <c r="I22" s="35">
        <v>1.2</v>
      </c>
      <c r="J22" s="34">
        <v>34.9</v>
      </c>
      <c r="K22" s="34">
        <v>1.5</v>
      </c>
      <c r="L22" s="34">
        <v>14.2</v>
      </c>
      <c r="M22" s="34">
        <v>0.4</v>
      </c>
      <c r="N22" s="34">
        <v>0</v>
      </c>
      <c r="O22" s="35">
        <f t="shared" si="7"/>
        <v>-31.010000000000005</v>
      </c>
      <c r="P22" s="35">
        <f t="shared" si="4"/>
        <v>-22.544270000000008</v>
      </c>
      <c r="Q22" s="34">
        <f>ROUND((P22+P19)/2,3)</f>
        <v>-10.013999999999999</v>
      </c>
      <c r="R22" s="35">
        <f t="shared" si="0"/>
        <v>0.69760966264445146</v>
      </c>
      <c r="S22" s="34">
        <f t="shared" si="5"/>
        <v>5.657</v>
      </c>
      <c r="T22" s="35">
        <f t="shared" si="6"/>
        <v>-59.278541858788095</v>
      </c>
      <c r="U22" s="29"/>
      <c r="V22" s="34"/>
      <c r="W22" s="106"/>
      <c r="X22" s="34"/>
    </row>
    <row r="23" spans="1:26" ht="23.45" customHeight="1" x14ac:dyDescent="0.25">
      <c r="A23" s="34">
        <v>5</v>
      </c>
      <c r="B23" s="35">
        <f>J15</f>
        <v>0.95000000000000284</v>
      </c>
      <c r="C23" s="34">
        <v>18.5</v>
      </c>
      <c r="D23" s="35">
        <f t="shared" si="1"/>
        <v>1.8859999999999999</v>
      </c>
      <c r="E23" s="106">
        <v>8.8000000000000007</v>
      </c>
      <c r="F23" s="35">
        <f t="shared" si="2"/>
        <v>1.7330000000000001</v>
      </c>
      <c r="G23" s="35"/>
      <c r="H23" s="35">
        <f>F23-1</f>
        <v>0.7330000000000001</v>
      </c>
      <c r="I23" s="35">
        <v>1.2</v>
      </c>
      <c r="J23" s="34">
        <v>35.299999999999997</v>
      </c>
      <c r="K23" s="34">
        <v>1.5</v>
      </c>
      <c r="L23" s="34" t="s">
        <v>328</v>
      </c>
      <c r="M23" s="34">
        <v>0.3</v>
      </c>
      <c r="N23" s="34">
        <v>0</v>
      </c>
      <c r="O23" s="35">
        <f t="shared" si="7"/>
        <v>-30.060000000000002</v>
      </c>
      <c r="P23" s="35">
        <f t="shared" si="4"/>
        <v>-22.033980000000003</v>
      </c>
      <c r="Q23" s="34">
        <f t="shared" ref="Q23" si="10">ROUND((P23+P22)/2,3)</f>
        <v>-22.289000000000001</v>
      </c>
      <c r="R23" s="35">
        <f t="shared" si="0"/>
        <v>0.70803946712802268</v>
      </c>
      <c r="S23" s="34">
        <f t="shared" si="5"/>
        <v>3.5830000000000002</v>
      </c>
      <c r="T23" s="35">
        <f t="shared" si="6"/>
        <v>-84.817627049297272</v>
      </c>
      <c r="U23" s="29"/>
      <c r="V23" s="34"/>
      <c r="W23" s="106"/>
      <c r="X23" s="34"/>
    </row>
    <row r="24" spans="1:26" ht="17.45" customHeight="1" x14ac:dyDescent="0.25">
      <c r="T24" s="32">
        <f>SUM(T19:T23)</f>
        <v>1255.803209213047</v>
      </c>
    </row>
    <row r="27" spans="1:26" ht="79.900000000000006" customHeight="1" x14ac:dyDescent="0.25"/>
    <row r="28" spans="1:26" x14ac:dyDescent="0.25">
      <c r="A28" s="472" t="s">
        <v>259</v>
      </c>
      <c r="B28" s="472"/>
      <c r="C28" s="472"/>
      <c r="D28" s="472"/>
      <c r="E28" s="472"/>
      <c r="F28" s="472"/>
      <c r="G28" s="472"/>
      <c r="H28" s="472"/>
      <c r="I28" s="472"/>
      <c r="J28" s="472"/>
      <c r="K28" s="472"/>
      <c r="L28" s="472"/>
      <c r="M28" s="472"/>
      <c r="N28" s="472"/>
      <c r="O28" s="472"/>
      <c r="P28" s="472"/>
      <c r="Q28" s="472"/>
      <c r="R28" s="472"/>
      <c r="S28" s="472"/>
      <c r="T28" s="472"/>
    </row>
    <row r="29" spans="1:26" x14ac:dyDescent="0.25">
      <c r="A29" s="472" t="s">
        <v>282</v>
      </c>
      <c r="B29" s="472"/>
      <c r="C29" s="472"/>
      <c r="D29" s="472"/>
      <c r="E29" s="472"/>
      <c r="F29" s="472"/>
      <c r="G29" s="472"/>
      <c r="H29" s="472"/>
      <c r="I29" s="472"/>
      <c r="J29" s="472"/>
      <c r="K29" s="472"/>
      <c r="L29" s="472"/>
      <c r="M29" s="472"/>
      <c r="N29" s="472"/>
      <c r="O29" s="472"/>
      <c r="P29" s="472"/>
      <c r="Q29" s="472"/>
      <c r="R29" s="472"/>
      <c r="S29" s="472"/>
      <c r="T29" s="472"/>
    </row>
    <row r="30" spans="1:26" x14ac:dyDescent="0.25">
      <c r="A30" s="472" t="s">
        <v>281</v>
      </c>
      <c r="B30" s="472"/>
      <c r="C30" s="472"/>
      <c r="D30" s="472"/>
      <c r="E30" s="472"/>
      <c r="F30" s="472"/>
      <c r="G30" s="472"/>
      <c r="H30" s="472"/>
      <c r="I30" s="472"/>
      <c r="J30" s="472"/>
      <c r="K30" s="472"/>
      <c r="L30" s="472"/>
      <c r="M30" s="472"/>
      <c r="N30" s="472"/>
      <c r="O30" s="472"/>
      <c r="P30" s="472"/>
      <c r="Q30" s="472"/>
      <c r="R30" s="472"/>
      <c r="S30" s="472"/>
      <c r="T30" s="472"/>
    </row>
  </sheetData>
  <mergeCells count="34">
    <mergeCell ref="E16:H16"/>
    <mergeCell ref="L16:T16"/>
    <mergeCell ref="A28:T28"/>
    <mergeCell ref="A29:T29"/>
    <mergeCell ref="A30:T30"/>
    <mergeCell ref="A16:C16"/>
    <mergeCell ref="B14:C14"/>
    <mergeCell ref="M14:T14"/>
    <mergeCell ref="B15:C15"/>
    <mergeCell ref="M15:T15"/>
    <mergeCell ref="B10:C10"/>
    <mergeCell ref="E10:H10"/>
    <mergeCell ref="M10:T10"/>
    <mergeCell ref="B11:C11"/>
    <mergeCell ref="E11:H15"/>
    <mergeCell ref="M11:T11"/>
    <mergeCell ref="B12:C12"/>
    <mergeCell ref="M12:T12"/>
    <mergeCell ref="B13:C13"/>
    <mergeCell ref="M13:T13"/>
    <mergeCell ref="B9:C9"/>
    <mergeCell ref="E9:H9"/>
    <mergeCell ref="A1:P1"/>
    <mergeCell ref="A3:D3"/>
    <mergeCell ref="E3:P3"/>
    <mergeCell ref="A4:D4"/>
    <mergeCell ref="E4:P4"/>
    <mergeCell ref="A5:D5"/>
    <mergeCell ref="E5:P5"/>
    <mergeCell ref="A6:D6"/>
    <mergeCell ref="E6:P6"/>
    <mergeCell ref="B8:C8"/>
    <mergeCell ref="E8:H8"/>
    <mergeCell ref="K8:T8"/>
  </mergeCells>
  <pageMargins left="0.7" right="0.7" top="0.75" bottom="0.75" header="0.3" footer="0.3"/>
  <pageSetup paperSize="9" scale="79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H360"/>
  <sheetViews>
    <sheetView view="pageBreakPreview" topLeftCell="A231" zoomScale="80" zoomScaleNormal="100" zoomScaleSheetLayoutView="80" workbookViewId="0">
      <selection activeCell="D16" sqref="D16:E16"/>
    </sheetView>
  </sheetViews>
  <sheetFormatPr defaultColWidth="9.140625" defaultRowHeight="15" x14ac:dyDescent="0.25"/>
  <cols>
    <col min="1" max="1" width="2.42578125" style="82" customWidth="1"/>
    <col min="2" max="2" width="27" style="82" customWidth="1"/>
    <col min="3" max="3" width="4.85546875" style="82" customWidth="1"/>
    <col min="4" max="4" width="13.42578125" style="82" customWidth="1"/>
    <col min="5" max="5" width="6.5703125" style="82" customWidth="1"/>
    <col min="6" max="6" width="12" style="82" customWidth="1"/>
    <col min="7" max="7" width="9.42578125" style="82" customWidth="1"/>
    <col min="8" max="8" width="12.7109375" style="82" customWidth="1"/>
    <col min="9" max="9" width="12.140625" style="82" customWidth="1"/>
    <col min="10" max="10" width="10.5703125" style="82" customWidth="1"/>
    <col min="11" max="11" width="12.140625" style="82" customWidth="1"/>
    <col min="12" max="12" width="10.140625" style="82" customWidth="1"/>
    <col min="13" max="13" width="9.28515625" style="82" customWidth="1"/>
    <col min="14" max="14" width="12.5703125" style="82" customWidth="1"/>
    <col min="15" max="15" width="13.42578125" style="82" customWidth="1"/>
    <col min="16" max="16" width="9.7109375" style="82" customWidth="1"/>
    <col min="17" max="17" width="5.85546875" style="82" customWidth="1"/>
    <col min="18" max="18" width="14" style="82" customWidth="1"/>
    <col min="19" max="19" width="8.7109375" style="82" customWidth="1"/>
    <col min="20" max="20" width="5.5703125" style="82" customWidth="1"/>
    <col min="21" max="16384" width="9.140625" style="82"/>
  </cols>
  <sheetData>
    <row r="1" spans="1:26" ht="42.75" customHeight="1" x14ac:dyDescent="0.25"/>
    <row r="2" spans="1:26" ht="61.5" customHeight="1" x14ac:dyDescent="0.25">
      <c r="A2" s="507" t="s">
        <v>132</v>
      </c>
      <c r="B2" s="507"/>
      <c r="C2" s="508" t="str">
        <f>'Annexure A'!C3:G3</f>
        <v>Construction of High Level Bridge across Cauvery river ar km 315/6-316/2 of Chennai- Trichy-Dindugal road (SHU-9) in between Trichy and Srirangam</v>
      </c>
      <c r="D2" s="508"/>
      <c r="E2" s="508"/>
      <c r="F2" s="508"/>
      <c r="G2" s="508"/>
      <c r="H2" s="508"/>
      <c r="I2" s="508"/>
      <c r="J2" s="508"/>
      <c r="K2" s="508"/>
      <c r="O2" s="82">
        <v>1</v>
      </c>
      <c r="P2" s="82" t="s">
        <v>133</v>
      </c>
      <c r="Q2" s="82" t="s">
        <v>134</v>
      </c>
      <c r="R2" s="83">
        <v>9.81</v>
      </c>
      <c r="S2" s="82" t="s">
        <v>117</v>
      </c>
    </row>
    <row r="3" spans="1:26" ht="21.6" customHeight="1" x14ac:dyDescent="0.3">
      <c r="A3" s="251"/>
      <c r="B3" s="252"/>
      <c r="C3" s="252"/>
      <c r="D3" s="252"/>
      <c r="E3" s="252"/>
      <c r="F3" s="252"/>
      <c r="G3" s="252"/>
      <c r="H3" s="252"/>
      <c r="I3" s="252"/>
      <c r="J3" s="252"/>
      <c r="K3" s="252"/>
      <c r="O3" s="82">
        <v>1</v>
      </c>
      <c r="P3" s="82" t="s">
        <v>117</v>
      </c>
      <c r="Q3" s="82" t="s">
        <v>134</v>
      </c>
      <c r="R3" s="84">
        <f>1/9.81</f>
        <v>0.1019367991845056</v>
      </c>
      <c r="S3" s="82" t="s">
        <v>135</v>
      </c>
    </row>
    <row r="4" spans="1:26" ht="23.25" hidden="1" customHeight="1" x14ac:dyDescent="0.3">
      <c r="A4" s="251"/>
      <c r="B4" s="509" t="s">
        <v>136</v>
      </c>
      <c r="C4" s="509"/>
      <c r="D4" s="509"/>
      <c r="E4" s="509"/>
      <c r="F4" s="509"/>
      <c r="G4" s="509"/>
      <c r="H4" s="509"/>
      <c r="I4" s="509"/>
      <c r="J4" s="509"/>
      <c r="K4" s="509"/>
    </row>
    <row r="5" spans="1:26" s="85" customFormat="1" ht="29.25" customHeight="1" x14ac:dyDescent="0.25">
      <c r="A5" s="253"/>
      <c r="B5" s="254" t="s">
        <v>137</v>
      </c>
      <c r="C5" s="255" t="s">
        <v>134</v>
      </c>
      <c r="D5" s="256">
        <f>ROUND(315*9.81,0)</f>
        <v>3090</v>
      </c>
      <c r="E5" s="255" t="s">
        <v>138</v>
      </c>
      <c r="F5" s="255"/>
      <c r="G5" s="255"/>
      <c r="H5" s="255"/>
      <c r="I5" s="255"/>
      <c r="J5" s="255"/>
      <c r="K5" s="253"/>
      <c r="O5" s="85">
        <v>1500</v>
      </c>
      <c r="P5" s="85" t="s">
        <v>117</v>
      </c>
      <c r="Q5" s="85" t="s">
        <v>134</v>
      </c>
      <c r="R5" s="86">
        <f>R3*1500</f>
        <v>152.9051987767584</v>
      </c>
    </row>
    <row r="6" spans="1:26" s="85" customFormat="1" ht="29.25" customHeight="1" x14ac:dyDescent="0.25">
      <c r="A6" s="253"/>
      <c r="B6" s="254"/>
      <c r="C6" s="255" t="s">
        <v>134</v>
      </c>
      <c r="D6" s="257">
        <v>315</v>
      </c>
      <c r="E6" s="255" t="s">
        <v>139</v>
      </c>
      <c r="F6" s="255"/>
      <c r="G6" s="255"/>
      <c r="H6" s="255"/>
      <c r="I6" s="255"/>
      <c r="J6" s="255"/>
      <c r="K6" s="253"/>
    </row>
    <row r="7" spans="1:26" s="85" customFormat="1" ht="29.25" hidden="1" customHeight="1" x14ac:dyDescent="0.25">
      <c r="A7" s="253"/>
      <c r="B7" s="254" t="s">
        <v>140</v>
      </c>
      <c r="C7" s="255" t="s">
        <v>134</v>
      </c>
      <c r="D7" s="254" t="s">
        <v>141</v>
      </c>
      <c r="E7" s="255"/>
      <c r="F7" s="255"/>
      <c r="G7" s="255"/>
      <c r="H7" s="255"/>
      <c r="I7" s="255"/>
      <c r="J7" s="255"/>
      <c r="K7" s="253"/>
    </row>
    <row r="8" spans="1:26" s="85" customFormat="1" ht="29.25" hidden="1" customHeight="1" x14ac:dyDescent="0.25">
      <c r="A8" s="253"/>
      <c r="B8" s="254" t="s">
        <v>142</v>
      </c>
      <c r="C8" s="255" t="s">
        <v>134</v>
      </c>
      <c r="D8" s="254" t="s">
        <v>143</v>
      </c>
      <c r="E8" s="255"/>
      <c r="F8" s="255"/>
      <c r="G8" s="255"/>
      <c r="H8" s="255"/>
      <c r="I8" s="255"/>
      <c r="J8" s="255"/>
      <c r="K8" s="253"/>
    </row>
    <row r="9" spans="1:26" s="85" customFormat="1" ht="29.25" hidden="1" customHeight="1" x14ac:dyDescent="0.25">
      <c r="A9" s="253"/>
      <c r="B9" s="254" t="s">
        <v>144</v>
      </c>
      <c r="C9" s="255">
        <v>52.454999999999998</v>
      </c>
      <c r="D9" s="255" t="s">
        <v>145</v>
      </c>
      <c r="E9" s="255"/>
      <c r="F9" s="255"/>
      <c r="G9" s="255"/>
      <c r="H9" s="255"/>
      <c r="I9" s="255"/>
      <c r="J9" s="255"/>
      <c r="K9" s="253"/>
    </row>
    <row r="10" spans="1:26" s="85" customFormat="1" ht="29.25" customHeight="1" x14ac:dyDescent="0.25">
      <c r="A10" s="253"/>
      <c r="B10" s="254"/>
      <c r="C10" s="255"/>
      <c r="D10" s="255"/>
      <c r="E10" s="255"/>
      <c r="F10" s="255"/>
      <c r="G10" s="255"/>
      <c r="H10" s="255"/>
      <c r="I10" s="255"/>
      <c r="J10" s="255"/>
      <c r="K10" s="253"/>
      <c r="P10" s="85" t="s">
        <v>146</v>
      </c>
      <c r="Q10" s="85">
        <v>99.361999999999995</v>
      </c>
    </row>
    <row r="11" spans="1:26" s="85" customFormat="1" ht="29.25" customHeight="1" x14ac:dyDescent="0.25">
      <c r="A11" s="253"/>
      <c r="B11" s="254" t="s">
        <v>147</v>
      </c>
      <c r="C11" s="255" t="s">
        <v>134</v>
      </c>
      <c r="D11" s="490" t="s">
        <v>464</v>
      </c>
      <c r="E11" s="490"/>
      <c r="F11" s="490"/>
      <c r="G11" s="490"/>
      <c r="H11" s="490"/>
      <c r="I11" s="490"/>
      <c r="J11" s="255"/>
      <c r="K11" s="253"/>
      <c r="P11" s="85" t="s">
        <v>148</v>
      </c>
      <c r="Q11" s="85">
        <v>84.23</v>
      </c>
    </row>
    <row r="12" spans="1:26" s="85" customFormat="1" ht="29.25" hidden="1" customHeight="1" x14ac:dyDescent="0.25">
      <c r="A12" s="253"/>
      <c r="B12" s="254" t="s">
        <v>147</v>
      </c>
      <c r="C12" s="255" t="s">
        <v>134</v>
      </c>
      <c r="D12" s="254" t="s">
        <v>544</v>
      </c>
      <c r="E12" s="255"/>
      <c r="F12" s="255"/>
      <c r="G12" s="255"/>
      <c r="H12" s="255"/>
      <c r="I12" s="255"/>
      <c r="J12" s="255"/>
      <c r="K12" s="253"/>
    </row>
    <row r="13" spans="1:26" s="85" customFormat="1" ht="29.25" hidden="1" customHeight="1" x14ac:dyDescent="0.25">
      <c r="A13" s="253"/>
      <c r="B13" s="254" t="s">
        <v>147</v>
      </c>
      <c r="C13" s="255" t="s">
        <v>134</v>
      </c>
      <c r="D13" s="254" t="s">
        <v>545</v>
      </c>
      <c r="E13" s="255"/>
      <c r="F13" s="255"/>
      <c r="G13" s="255"/>
      <c r="H13" s="255"/>
      <c r="I13" s="255"/>
      <c r="J13" s="255"/>
      <c r="K13" s="253"/>
    </row>
    <row r="14" spans="1:26" s="85" customFormat="1" ht="29.25" customHeight="1" x14ac:dyDescent="0.25">
      <c r="A14" s="253"/>
      <c r="B14" s="255"/>
      <c r="C14" s="255" t="s">
        <v>134</v>
      </c>
      <c r="D14" s="258">
        <f>'Skin Friction'!V24</f>
        <v>60.356000000000002</v>
      </c>
      <c r="E14" s="255" t="s">
        <v>139</v>
      </c>
      <c r="F14" s="490" t="s">
        <v>149</v>
      </c>
      <c r="G14" s="490"/>
      <c r="H14" s="490"/>
      <c r="I14" s="490"/>
      <c r="J14" s="255"/>
      <c r="K14" s="253"/>
      <c r="N14" s="85" t="e">
        <f>sin</f>
        <v>#NAME?</v>
      </c>
      <c r="P14" s="85" t="s">
        <v>150</v>
      </c>
      <c r="Q14" s="85">
        <f>Q10-Q11</f>
        <v>15.131999999999991</v>
      </c>
    </row>
    <row r="15" spans="1:26" s="85" customFormat="1" ht="29.25" customHeight="1" x14ac:dyDescent="0.25">
      <c r="A15" s="253"/>
      <c r="B15" s="254" t="s">
        <v>151</v>
      </c>
      <c r="C15" s="255" t="s">
        <v>134</v>
      </c>
      <c r="D15" s="259">
        <v>2.5</v>
      </c>
      <c r="E15" s="255"/>
      <c r="F15" s="255"/>
      <c r="G15" s="255"/>
      <c r="H15" s="255"/>
      <c r="I15" s="255"/>
      <c r="J15" s="255"/>
      <c r="K15" s="253"/>
      <c r="P15" s="85" t="s">
        <v>152</v>
      </c>
      <c r="Q15" s="85">
        <f>1</f>
        <v>1</v>
      </c>
    </row>
    <row r="16" spans="1:26" s="85" customFormat="1" ht="29.25" customHeight="1" x14ac:dyDescent="0.25">
      <c r="A16" s="253"/>
      <c r="B16" s="254" t="s">
        <v>153</v>
      </c>
      <c r="C16" s="255" t="s">
        <v>134</v>
      </c>
      <c r="D16" s="479" t="str">
        <f>CONCATENATE(ROUND(D14,3)," / ",D15)</f>
        <v>60.356 / 2.5</v>
      </c>
      <c r="E16" s="479"/>
      <c r="F16" s="255"/>
      <c r="G16" s="255"/>
      <c r="H16" s="255"/>
      <c r="I16" s="255"/>
      <c r="J16" s="255"/>
      <c r="K16" s="253"/>
      <c r="P16" s="85" t="s">
        <v>154</v>
      </c>
      <c r="Q16" s="85">
        <f>22*Q15*Q15*Q14/(4*7)</f>
        <v>11.889428571428564</v>
      </c>
      <c r="Z16" s="85">
        <f>12*12</f>
        <v>144</v>
      </c>
    </row>
    <row r="17" spans="1:34" s="85" customFormat="1" ht="29.25" customHeight="1" x14ac:dyDescent="0.25">
      <c r="A17" s="253"/>
      <c r="B17" s="254"/>
      <c r="C17" s="255" t="s">
        <v>134</v>
      </c>
      <c r="D17" s="257">
        <f>ROUND(D14/D15,3)</f>
        <v>24.141999999999999</v>
      </c>
      <c r="E17" s="255" t="s">
        <v>139</v>
      </c>
      <c r="F17" s="255"/>
      <c r="G17" s="255"/>
      <c r="H17" s="255"/>
      <c r="I17" s="255"/>
      <c r="J17" s="255"/>
      <c r="K17" s="253"/>
      <c r="Q17" s="85">
        <f>AG17</f>
        <v>0</v>
      </c>
      <c r="Z17" s="85">
        <f>10*10</f>
        <v>100</v>
      </c>
      <c r="AA17" s="85">
        <f>F17</f>
        <v>0</v>
      </c>
      <c r="AE17" s="85">
        <v>0</v>
      </c>
      <c r="AF17" s="85">
        <f>0.5*AH17*AB17</f>
        <v>0</v>
      </c>
      <c r="AH17" s="86">
        <f>AA17*AC17</f>
        <v>0</v>
      </c>
    </row>
    <row r="18" spans="1:34" s="85" customFormat="1" ht="29.25" customHeight="1" x14ac:dyDescent="0.25">
      <c r="A18" s="253"/>
      <c r="B18" s="260" t="s">
        <v>155</v>
      </c>
      <c r="C18" s="255" t="s">
        <v>134</v>
      </c>
      <c r="D18" s="254" t="str">
        <f>CONCATENATE(D6," MT "," +  ",D17," MT ")</f>
        <v xml:space="preserve">315 MT  +  24.142 MT </v>
      </c>
      <c r="E18" s="255"/>
      <c r="F18" s="255"/>
      <c r="G18" s="255"/>
      <c r="H18" s="255"/>
      <c r="I18" s="255"/>
      <c r="J18" s="255"/>
      <c r="K18" s="253"/>
      <c r="Q18" s="85">
        <f t="shared" ref="Q18:Q19" si="0">AG18</f>
        <v>0</v>
      </c>
      <c r="Z18" s="85">
        <v>44</v>
      </c>
      <c r="AE18" s="85">
        <f>AH17*AB18</f>
        <v>0</v>
      </c>
      <c r="AF18" s="85">
        <f>-(AH18-AH17)*AB18/2</f>
        <v>0</v>
      </c>
      <c r="AH18" s="86">
        <f>AA18*AC18</f>
        <v>0</v>
      </c>
    </row>
    <row r="19" spans="1:34" s="85" customFormat="1" ht="29.25" customHeight="1" x14ac:dyDescent="0.25">
      <c r="A19" s="253"/>
      <c r="B19" s="254" t="s">
        <v>156</v>
      </c>
      <c r="C19" s="255" t="s">
        <v>134</v>
      </c>
      <c r="D19" s="257">
        <f>D6+D17</f>
        <v>339.142</v>
      </c>
      <c r="E19" s="255" t="s">
        <v>139</v>
      </c>
      <c r="F19" s="255"/>
      <c r="G19" s="255"/>
      <c r="H19" s="255"/>
      <c r="I19" s="255"/>
      <c r="J19" s="255"/>
      <c r="K19" s="253"/>
      <c r="Q19" s="85">
        <f t="shared" si="0"/>
        <v>0</v>
      </c>
      <c r="Z19" s="85">
        <f>80-Z18</f>
        <v>36</v>
      </c>
      <c r="AE19" s="85">
        <f>AH18*AB19</f>
        <v>0</v>
      </c>
      <c r="AF19" s="85">
        <f>(AH19-AH18)*AB19/2</f>
        <v>0</v>
      </c>
      <c r="AH19" s="86">
        <f>AA19*AC19</f>
        <v>0</v>
      </c>
    </row>
    <row r="20" spans="1:34" s="85" customFormat="1" ht="29.25" hidden="1" customHeight="1" x14ac:dyDescent="0.25">
      <c r="A20" s="253"/>
      <c r="B20" s="255"/>
      <c r="C20" s="255"/>
      <c r="D20" s="255"/>
      <c r="E20" s="255"/>
      <c r="F20" s="255"/>
      <c r="G20" s="255"/>
      <c r="H20" s="255"/>
      <c r="I20" s="255"/>
      <c r="J20" s="255"/>
      <c r="K20" s="253"/>
    </row>
    <row r="21" spans="1:34" s="85" customFormat="1" ht="29.25" customHeight="1" thickBot="1" x14ac:dyDescent="0.3">
      <c r="A21" s="253"/>
      <c r="B21" s="255" t="s">
        <v>410</v>
      </c>
      <c r="C21" s="255"/>
      <c r="D21" s="255"/>
      <c r="E21" s="513" t="s">
        <v>406</v>
      </c>
      <c r="F21" s="513"/>
      <c r="G21" s="255">
        <v>2.5</v>
      </c>
      <c r="H21" s="490" t="s">
        <v>407</v>
      </c>
      <c r="I21" s="490"/>
      <c r="J21" s="490"/>
      <c r="K21" s="490"/>
      <c r="Z21" s="85">
        <f>SUM(Z16:Z20)</f>
        <v>324</v>
      </c>
    </row>
    <row r="22" spans="1:34" s="85" customFormat="1" ht="29.25" customHeight="1" x14ac:dyDescent="0.25">
      <c r="A22" s="253"/>
      <c r="B22" s="255" t="s">
        <v>157</v>
      </c>
      <c r="C22" s="255" t="s">
        <v>134</v>
      </c>
      <c r="D22" s="254" t="str">
        <f>CONCATENATE(D19, " x ",G21)</f>
        <v>339.142 x 2.5</v>
      </c>
      <c r="E22" s="255"/>
      <c r="F22" s="255"/>
      <c r="G22" s="255"/>
      <c r="H22" s="255"/>
      <c r="I22" s="255"/>
      <c r="J22" s="255"/>
      <c r="K22" s="253"/>
      <c r="N22" s="517" t="s">
        <v>165</v>
      </c>
      <c r="O22" s="87">
        <f>K119</f>
        <v>2058.3079839650941</v>
      </c>
      <c r="P22" s="88">
        <f>J123</f>
        <v>2062.5</v>
      </c>
      <c r="Q22" s="82"/>
      <c r="R22" s="82"/>
      <c r="S22" s="82"/>
      <c r="T22" s="82"/>
      <c r="U22" s="82"/>
      <c r="V22" s="82"/>
    </row>
    <row r="23" spans="1:34" ht="29.25" customHeight="1" x14ac:dyDescent="0.3">
      <c r="A23" s="251"/>
      <c r="B23" s="261"/>
      <c r="C23" s="255" t="s">
        <v>134</v>
      </c>
      <c r="D23" s="262">
        <f>ROUND(D19*G21,3)</f>
        <v>847.85500000000002</v>
      </c>
      <c r="E23" s="255" t="s">
        <v>139</v>
      </c>
      <c r="F23" s="261"/>
      <c r="G23" s="261"/>
      <c r="H23" s="261"/>
      <c r="I23" s="261"/>
      <c r="J23" s="261"/>
      <c r="K23" s="251"/>
      <c r="N23" s="518"/>
      <c r="O23" s="89">
        <f>K129</f>
        <v>347.9252158497751</v>
      </c>
      <c r="P23" s="90">
        <f>J133</f>
        <v>1250</v>
      </c>
    </row>
    <row r="24" spans="1:34" ht="29.25" customHeight="1" thickBot="1" x14ac:dyDescent="0.35">
      <c r="A24" s="251"/>
      <c r="B24" s="261" t="s">
        <v>158</v>
      </c>
      <c r="C24" s="255" t="s">
        <v>134</v>
      </c>
      <c r="D24" s="254" t="str">
        <f>CONCATENATE(D23," x ",1.25)</f>
        <v>847.855 x 1.25</v>
      </c>
      <c r="E24" s="261"/>
      <c r="F24" s="261"/>
      <c r="G24" s="261"/>
      <c r="H24" s="261"/>
      <c r="I24" s="261"/>
      <c r="J24" s="261"/>
      <c r="K24" s="251"/>
      <c r="N24" s="519"/>
      <c r="O24" s="91">
        <f>K139</f>
        <v>10683.636363636362</v>
      </c>
      <c r="P24" s="92">
        <f>J141</f>
        <v>10705.395</v>
      </c>
      <c r="R24" s="82">
        <f>(N31-O31)/2</f>
        <v>1.5</v>
      </c>
    </row>
    <row r="25" spans="1:34" ht="29.25" customHeight="1" x14ac:dyDescent="0.3">
      <c r="A25" s="251"/>
      <c r="B25" s="261"/>
      <c r="C25" s="255" t="s">
        <v>134</v>
      </c>
      <c r="D25" s="257">
        <f>ROUND(1.25*D23,3)</f>
        <v>1059.819</v>
      </c>
      <c r="E25" s="255" t="s">
        <v>139</v>
      </c>
      <c r="F25" s="261"/>
      <c r="G25" s="261"/>
      <c r="H25" s="261"/>
      <c r="I25" s="261"/>
      <c r="J25" s="261"/>
      <c r="K25" s="251"/>
      <c r="N25" s="517" t="s">
        <v>167</v>
      </c>
      <c r="O25" s="87">
        <f>I182</f>
        <v>1455.2248515015749</v>
      </c>
      <c r="P25" s="88">
        <f>I186</f>
        <v>2062.5</v>
      </c>
      <c r="R25" s="83">
        <f>P31</f>
        <v>6</v>
      </c>
    </row>
    <row r="26" spans="1:34" ht="29.25" customHeight="1" thickBot="1" x14ac:dyDescent="0.35">
      <c r="A26" s="251"/>
      <c r="B26" s="261" t="s">
        <v>159</v>
      </c>
      <c r="C26" s="255" t="s">
        <v>134</v>
      </c>
      <c r="D26" s="257">
        <f>I67</f>
        <v>1108.1076720000001</v>
      </c>
      <c r="E26" s="255" t="s">
        <v>160</v>
      </c>
      <c r="F26" s="258">
        <f>D25</f>
        <v>1059.819</v>
      </c>
      <c r="G26" s="261"/>
      <c r="H26" s="261"/>
      <c r="I26" s="261"/>
      <c r="J26" s="261"/>
      <c r="K26" s="251"/>
      <c r="N26" s="519"/>
      <c r="O26" s="89">
        <f>I189</f>
        <v>325.6856540084388</v>
      </c>
      <c r="P26" s="90">
        <f>I193</f>
        <v>1250</v>
      </c>
      <c r="R26" s="84">
        <f>R24/R25</f>
        <v>0.25</v>
      </c>
      <c r="S26" s="83">
        <f>1/R26</f>
        <v>4</v>
      </c>
    </row>
    <row r="27" spans="1:34" ht="29.25" customHeight="1" x14ac:dyDescent="0.3">
      <c r="A27" s="251"/>
      <c r="B27" s="510" t="s">
        <v>161</v>
      </c>
      <c r="C27" s="510"/>
      <c r="D27" s="510"/>
      <c r="E27" s="510"/>
      <c r="F27" s="510"/>
      <c r="G27" s="510"/>
      <c r="H27" s="510"/>
      <c r="I27" s="510"/>
      <c r="J27" s="510"/>
      <c r="K27" s="251"/>
      <c r="N27" s="520" t="s">
        <v>168</v>
      </c>
      <c r="O27" s="87">
        <f>I247</f>
        <v>1940.8111517603975</v>
      </c>
      <c r="P27" s="88">
        <f>I251</f>
        <v>2062.5</v>
      </c>
    </row>
    <row r="28" spans="1:34" s="102" customFormat="1" ht="19.5" thickBot="1" x14ac:dyDescent="0.35">
      <c r="A28" s="263"/>
      <c r="B28" s="264"/>
      <c r="C28" s="265"/>
      <c r="D28" s="265"/>
      <c r="E28" s="265"/>
      <c r="F28" s="265"/>
      <c r="G28" s="265"/>
      <c r="H28" s="265"/>
      <c r="I28" s="265"/>
      <c r="J28" s="266"/>
      <c r="K28" s="266"/>
      <c r="L28" s="100"/>
      <c r="N28" s="521"/>
      <c r="O28" s="91">
        <f>I254</f>
        <v>341.04346541479265</v>
      </c>
      <c r="P28" s="93">
        <f>I258</f>
        <v>1250</v>
      </c>
      <c r="Q28" s="82"/>
      <c r="R28" s="82"/>
      <c r="S28" s="82"/>
      <c r="T28" s="82"/>
      <c r="U28" s="82"/>
      <c r="V28" s="82"/>
    </row>
    <row r="29" spans="1:34" s="102" customFormat="1" ht="53.45" customHeight="1" x14ac:dyDescent="0.3">
      <c r="A29" s="263"/>
      <c r="B29" s="264"/>
      <c r="C29" s="265"/>
      <c r="D29" s="265"/>
      <c r="E29" s="265"/>
      <c r="F29" s="265"/>
      <c r="G29" s="265"/>
      <c r="H29" s="265"/>
      <c r="I29" s="265"/>
      <c r="J29" s="266"/>
      <c r="K29" s="266"/>
      <c r="L29" s="100"/>
      <c r="N29" s="82"/>
      <c r="O29" s="82"/>
      <c r="P29" s="82"/>
      <c r="Q29" s="82"/>
      <c r="R29" s="82"/>
      <c r="S29" s="82"/>
      <c r="T29" s="82"/>
      <c r="U29" s="82"/>
      <c r="V29" s="82"/>
    </row>
    <row r="30" spans="1:34" s="102" customFormat="1" ht="15.75" x14ac:dyDescent="0.25">
      <c r="B30" s="484"/>
      <c r="C30" s="484"/>
      <c r="D30" s="484"/>
      <c r="E30" s="103"/>
      <c r="F30" s="103"/>
      <c r="G30" s="103"/>
      <c r="H30" s="103"/>
      <c r="I30" s="103"/>
      <c r="J30" s="484"/>
      <c r="K30" s="484"/>
      <c r="L30" s="484"/>
      <c r="N30" s="94" t="s">
        <v>148</v>
      </c>
      <c r="O30" s="94" t="s">
        <v>146</v>
      </c>
      <c r="P30" s="94" t="s">
        <v>150</v>
      </c>
      <c r="Q30" s="94"/>
      <c r="R30" s="82">
        <v>684.43299999999999</v>
      </c>
      <c r="S30" s="82"/>
      <c r="T30" s="82"/>
      <c r="U30" s="82"/>
      <c r="V30" s="82"/>
    </row>
    <row r="31" spans="1:34" s="102" customFormat="1" ht="15.75" x14ac:dyDescent="0.25">
      <c r="B31" s="473"/>
      <c r="C31" s="473"/>
      <c r="D31" s="473"/>
      <c r="E31" s="103"/>
      <c r="F31" s="103"/>
      <c r="G31" s="103"/>
      <c r="H31" s="103"/>
      <c r="I31" s="103"/>
      <c r="J31" s="473"/>
      <c r="K31" s="473"/>
      <c r="L31" s="473"/>
      <c r="N31" s="95">
        <v>12</v>
      </c>
      <c r="O31" s="96">
        <v>9</v>
      </c>
      <c r="P31" s="498">
        <v>6</v>
      </c>
      <c r="Q31" s="499"/>
      <c r="R31" s="82">
        <v>653.28399999999999</v>
      </c>
      <c r="S31" s="82"/>
      <c r="T31" s="82"/>
      <c r="U31" s="82"/>
      <c r="V31" s="82"/>
    </row>
    <row r="32" spans="1:34" s="102" customFormat="1" ht="15.75" x14ac:dyDescent="0.25">
      <c r="B32" s="473"/>
      <c r="C32" s="473"/>
      <c r="D32" s="473"/>
      <c r="E32" s="103"/>
      <c r="F32" s="103"/>
      <c r="G32" s="101"/>
      <c r="H32" s="103"/>
      <c r="I32" s="103"/>
      <c r="J32" s="473"/>
      <c r="K32" s="473"/>
      <c r="L32" s="473"/>
      <c r="N32" s="82"/>
      <c r="O32" s="82"/>
      <c r="P32" s="82"/>
      <c r="Q32" s="82"/>
      <c r="R32" s="82">
        <f>R30-R31</f>
        <v>31.149000000000001</v>
      </c>
      <c r="S32" s="82"/>
      <c r="T32" s="82"/>
      <c r="U32" s="82"/>
      <c r="V32" s="82"/>
    </row>
    <row r="33" spans="1:22" s="102" customFormat="1" ht="15.75" x14ac:dyDescent="0.25">
      <c r="E33" s="103"/>
      <c r="F33" s="103"/>
      <c r="G33" s="101"/>
      <c r="H33" s="103"/>
      <c r="I33" s="103"/>
      <c r="J33" s="103"/>
      <c r="N33" s="82"/>
      <c r="O33" s="82"/>
      <c r="P33" s="82"/>
      <c r="Q33" s="82"/>
      <c r="R33" s="82"/>
      <c r="S33" s="82"/>
      <c r="T33" s="82"/>
      <c r="U33" s="82"/>
      <c r="V33" s="82"/>
    </row>
    <row r="34" spans="1:22" s="102" customFormat="1" ht="15.75" x14ac:dyDescent="0.25">
      <c r="E34" s="103"/>
      <c r="F34" s="103"/>
      <c r="G34" s="101"/>
      <c r="H34" s="103"/>
      <c r="I34" s="103"/>
      <c r="J34" s="103"/>
      <c r="N34" s="82">
        <f>(N31-O31)/P31</f>
        <v>0.5</v>
      </c>
      <c r="O34" s="82"/>
      <c r="P34" s="82"/>
      <c r="Q34" s="82"/>
      <c r="R34" s="82"/>
      <c r="S34" s="84"/>
      <c r="T34" s="82"/>
      <c r="U34" s="82"/>
      <c r="V34" s="82"/>
    </row>
    <row r="35" spans="1:22" ht="29.25" customHeight="1" x14ac:dyDescent="0.25">
      <c r="N35" s="82">
        <f>1/N34</f>
        <v>2</v>
      </c>
    </row>
    <row r="36" spans="1:22" ht="63" customHeight="1" x14ac:dyDescent="0.3">
      <c r="A36" s="507" t="s">
        <v>132</v>
      </c>
      <c r="B36" s="507"/>
      <c r="C36" s="512" t="str">
        <f>C2</f>
        <v>Construction of High Level Bridge across Cauvery river ar km 315/6-316/2 of Chennai- Trichy-Dindugal road (SHU-9) in between Trichy and Srirangam</v>
      </c>
      <c r="D36" s="512"/>
      <c r="E36" s="512"/>
      <c r="F36" s="512"/>
      <c r="G36" s="512"/>
      <c r="H36" s="512"/>
      <c r="I36" s="512"/>
      <c r="J36" s="512"/>
      <c r="K36" s="512"/>
      <c r="L36" s="251"/>
    </row>
    <row r="37" spans="1:22" ht="22.5" hidden="1" customHeight="1" x14ac:dyDescent="0.3">
      <c r="A37" s="251"/>
      <c r="B37" s="514" t="s">
        <v>162</v>
      </c>
      <c r="C37" s="514"/>
      <c r="D37" s="514"/>
      <c r="E37" s="514"/>
      <c r="F37" s="514"/>
      <c r="G37" s="514"/>
      <c r="H37" s="514"/>
      <c r="I37" s="514"/>
      <c r="J37" s="514"/>
      <c r="K37" s="514"/>
      <c r="L37" s="251"/>
    </row>
    <row r="38" spans="1:22" ht="22.5" customHeight="1" x14ac:dyDescent="0.3">
      <c r="A38" s="251"/>
      <c r="B38" s="267" t="s">
        <v>163</v>
      </c>
      <c r="C38" s="251"/>
      <c r="D38" s="251"/>
      <c r="E38" s="251"/>
      <c r="F38" s="251"/>
      <c r="G38" s="251"/>
      <c r="H38" s="251"/>
      <c r="I38" s="251"/>
      <c r="J38" s="251"/>
      <c r="K38" s="251"/>
      <c r="L38" s="251"/>
    </row>
    <row r="39" spans="1:22" ht="18.75" x14ac:dyDescent="0.3">
      <c r="A39" s="251"/>
      <c r="B39" s="251"/>
      <c r="C39" s="251"/>
      <c r="D39" s="251"/>
      <c r="E39" s="251"/>
      <c r="F39" s="251"/>
      <c r="G39" s="251"/>
      <c r="H39" s="251"/>
      <c r="I39" s="251"/>
      <c r="J39" s="251"/>
      <c r="K39" s="251"/>
      <c r="L39" s="251"/>
    </row>
    <row r="40" spans="1:22" ht="37.15" customHeight="1" x14ac:dyDescent="0.25">
      <c r="A40" s="254">
        <v>1</v>
      </c>
      <c r="B40" s="268" t="s">
        <v>397</v>
      </c>
      <c r="C40" s="500" t="str">
        <f>'Annexure A'!D48</f>
        <v xml:space="preserve">WPB-800x300x262.33 with web plate on both sides ( 12 mm thick Ms plate) &amp; Bottom Flange plate of 30 mm thick 330 mm wide. </v>
      </c>
      <c r="D40" s="500"/>
      <c r="E40" s="500"/>
      <c r="F40" s="500"/>
      <c r="G40" s="500"/>
      <c r="H40" s="500"/>
      <c r="I40" s="500"/>
      <c r="J40" s="500"/>
      <c r="K40" s="500"/>
      <c r="L40" s="500"/>
    </row>
    <row r="41" spans="1:22" ht="18.75" customHeight="1" x14ac:dyDescent="0.3">
      <c r="A41" s="251"/>
      <c r="B41" s="269">
        <f>'Annexure A'!F50</f>
        <v>4</v>
      </c>
      <c r="C41" s="251" t="s">
        <v>164</v>
      </c>
      <c r="D41" s="256">
        <v>12</v>
      </c>
      <c r="E41" s="255"/>
      <c r="F41" s="270">
        <f>'Main Beam'!E36</f>
        <v>472.26400000000001</v>
      </c>
      <c r="G41" s="251"/>
      <c r="H41" s="251"/>
      <c r="I41" s="271">
        <f>F41*D41*B41/1000</f>
        <v>22.668671999999997</v>
      </c>
      <c r="J41" s="251" t="s">
        <v>139</v>
      </c>
      <c r="K41" s="251"/>
      <c r="L41" s="251"/>
    </row>
    <row r="42" spans="1:22" ht="19.5" thickBot="1" x14ac:dyDescent="0.35">
      <c r="A42" s="251">
        <v>2</v>
      </c>
      <c r="B42" s="272" t="s">
        <v>404</v>
      </c>
      <c r="C42" s="500" t="str">
        <f>'Annexure A'!D51</f>
        <v>ISMB 450</v>
      </c>
      <c r="D42" s="500"/>
      <c r="E42" s="500"/>
      <c r="F42" s="500"/>
      <c r="G42" s="500"/>
      <c r="H42" s="500"/>
      <c r="I42" s="500"/>
      <c r="J42" s="500"/>
      <c r="K42" s="500"/>
      <c r="L42" s="500"/>
    </row>
    <row r="43" spans="1:22" ht="18.75" customHeight="1" x14ac:dyDescent="0.3">
      <c r="A43" s="251"/>
      <c r="B43" s="269">
        <f>'Annexure A'!F53</f>
        <v>30</v>
      </c>
      <c r="C43" s="255" t="s">
        <v>164</v>
      </c>
      <c r="D43" s="256">
        <v>12</v>
      </c>
      <c r="E43" s="255"/>
      <c r="F43" s="256">
        <f>'Cross Beam'!J13</f>
        <v>72.400000000000006</v>
      </c>
      <c r="G43" s="251"/>
      <c r="H43" s="251"/>
      <c r="I43" s="271">
        <f>F43*D43*B43/1000</f>
        <v>26.064000000000004</v>
      </c>
      <c r="J43" s="251" t="s">
        <v>139</v>
      </c>
      <c r="K43" s="251"/>
      <c r="L43" s="251"/>
      <c r="N43" s="530" t="s">
        <v>165</v>
      </c>
      <c r="O43" s="187">
        <f>K119</f>
        <v>2058.3079839650941</v>
      </c>
      <c r="P43" s="188">
        <f>J123</f>
        <v>2062.5</v>
      </c>
      <c r="Q43" s="186"/>
      <c r="R43" s="186"/>
      <c r="S43" s="186"/>
    </row>
    <row r="44" spans="1:22" ht="18.75" x14ac:dyDescent="0.3">
      <c r="A44" s="273">
        <v>3</v>
      </c>
      <c r="B44" s="274" t="s">
        <v>462</v>
      </c>
      <c r="C44" s="273"/>
      <c r="D44" s="275"/>
      <c r="E44" s="273"/>
      <c r="F44" s="276"/>
      <c r="G44" s="273"/>
      <c r="H44" s="273"/>
      <c r="I44" s="277"/>
      <c r="J44" s="273"/>
      <c r="K44" s="273"/>
      <c r="L44" s="251"/>
      <c r="N44" s="531"/>
      <c r="O44" s="189">
        <f>K129</f>
        <v>347.9252158497751</v>
      </c>
      <c r="P44" s="190">
        <f>J133</f>
        <v>1250</v>
      </c>
      <c r="Q44" s="186"/>
      <c r="R44" s="186"/>
      <c r="S44" s="186"/>
    </row>
    <row r="45" spans="1:22" ht="18.75" customHeight="1" thickBot="1" x14ac:dyDescent="0.35">
      <c r="A45" s="273"/>
      <c r="B45" s="515" t="s">
        <v>166</v>
      </c>
      <c r="C45" s="515"/>
      <c r="D45" s="515"/>
      <c r="E45" s="276"/>
      <c r="F45" s="278">
        <v>7850</v>
      </c>
      <c r="G45" s="273"/>
      <c r="H45" s="273"/>
      <c r="I45" s="279">
        <v>0</v>
      </c>
      <c r="J45" s="273" t="s">
        <v>139</v>
      </c>
      <c r="K45" s="273"/>
      <c r="L45" s="251"/>
      <c r="N45" s="532"/>
      <c r="O45" s="191">
        <f>K139</f>
        <v>10683.636363636362</v>
      </c>
      <c r="P45" s="192">
        <f>J141</f>
        <v>10705.395</v>
      </c>
      <c r="Q45" s="186"/>
      <c r="R45" s="186">
        <f>(N52-O52)/2</f>
        <v>1.5</v>
      </c>
      <c r="S45" s="186"/>
    </row>
    <row r="46" spans="1:22" ht="14.45" customHeight="1" x14ac:dyDescent="0.3">
      <c r="A46" s="251"/>
      <c r="B46" s="251"/>
      <c r="C46" s="251"/>
      <c r="D46" s="251"/>
      <c r="E46" s="251"/>
      <c r="F46" s="251"/>
      <c r="G46" s="251"/>
      <c r="H46" s="251"/>
      <c r="I46" s="280">
        <f>SUM(I41:I45)</f>
        <v>48.732672000000001</v>
      </c>
      <c r="J46" s="251" t="s">
        <v>139</v>
      </c>
      <c r="K46" s="251"/>
      <c r="L46" s="251"/>
      <c r="N46" s="530" t="s">
        <v>167</v>
      </c>
      <c r="O46" s="187">
        <f>I182</f>
        <v>1455.2248515015749</v>
      </c>
      <c r="P46" s="188">
        <f>I186</f>
        <v>2062.5</v>
      </c>
      <c r="Q46" s="186"/>
      <c r="R46" s="193">
        <f>P52</f>
        <v>6</v>
      </c>
      <c r="S46" s="186"/>
    </row>
    <row r="47" spans="1:22" ht="19.5" thickBot="1" x14ac:dyDescent="0.35">
      <c r="A47" s="251"/>
      <c r="B47" s="267" t="s">
        <v>447</v>
      </c>
      <c r="C47" s="251"/>
      <c r="D47" s="251"/>
      <c r="E47" s="251"/>
      <c r="F47" s="251"/>
      <c r="G47" s="251"/>
      <c r="H47" s="251"/>
      <c r="I47" s="251"/>
      <c r="J47" s="251"/>
      <c r="K47" s="251"/>
      <c r="L47" s="251"/>
      <c r="N47" s="532"/>
      <c r="O47" s="189">
        <f>I189</f>
        <v>325.6856540084388</v>
      </c>
      <c r="P47" s="190">
        <f>I193</f>
        <v>1250</v>
      </c>
      <c r="Q47" s="186"/>
      <c r="R47" s="194">
        <f>R45/R46</f>
        <v>0.25</v>
      </c>
      <c r="S47" s="193">
        <f>1/R47</f>
        <v>4</v>
      </c>
    </row>
    <row r="48" spans="1:22" ht="18.75" x14ac:dyDescent="0.3">
      <c r="A48" s="251"/>
      <c r="B48" s="251" t="s">
        <v>448</v>
      </c>
      <c r="C48" s="251" t="s">
        <v>134</v>
      </c>
      <c r="D48" s="255">
        <v>2400</v>
      </c>
      <c r="E48" s="251" t="s">
        <v>449</v>
      </c>
      <c r="F48" s="251"/>
      <c r="G48" s="251"/>
      <c r="H48" s="251"/>
      <c r="I48" s="251"/>
      <c r="J48" s="251"/>
      <c r="K48" s="251"/>
      <c r="L48" s="251"/>
      <c r="N48" s="522" t="s">
        <v>168</v>
      </c>
      <c r="O48" s="187">
        <f>I247</f>
        <v>1940.8111517603975</v>
      </c>
      <c r="P48" s="188">
        <f>I251</f>
        <v>2062.5</v>
      </c>
      <c r="Q48" s="186"/>
      <c r="R48" s="186"/>
      <c r="S48" s="186"/>
    </row>
    <row r="49" spans="1:29" ht="19.5" hidden="1" thickBot="1" x14ac:dyDescent="0.35">
      <c r="A49" s="251"/>
      <c r="B49" s="251" t="s">
        <v>420</v>
      </c>
      <c r="C49" s="251" t="s">
        <v>134</v>
      </c>
      <c r="D49" s="255"/>
      <c r="E49" s="251"/>
      <c r="F49" s="251"/>
      <c r="G49" s="251"/>
      <c r="H49" s="251"/>
      <c r="I49" s="251"/>
      <c r="J49" s="251"/>
      <c r="K49" s="251"/>
      <c r="L49" s="251"/>
      <c r="N49" s="523"/>
      <c r="O49" s="191">
        <f>I254</f>
        <v>341.04346541479265</v>
      </c>
      <c r="P49" s="195">
        <f>I258</f>
        <v>1250</v>
      </c>
      <c r="Q49" s="186"/>
      <c r="R49" s="186"/>
      <c r="S49" s="186"/>
    </row>
    <row r="50" spans="1:29" ht="18.75" hidden="1" x14ac:dyDescent="0.3">
      <c r="A50" s="251"/>
      <c r="B50" s="281" t="str">
        <f>"{(12+12)/2x(12+12)/2+("&amp;O52&amp;"+"&amp;O52&amp;")/2x("&amp;O52&amp;"+"&amp;O52&amp;")/2}/2"</f>
        <v>{(12+12)/2x(12+12)/2+(9+9)/2x(9+9)/2}/2</v>
      </c>
      <c r="C50" s="251" t="s">
        <v>134</v>
      </c>
      <c r="D50" s="282"/>
      <c r="E50" s="281"/>
      <c r="F50" s="281"/>
      <c r="G50" s="253"/>
      <c r="H50" s="253"/>
      <c r="I50" s="253"/>
      <c r="J50" s="253"/>
      <c r="K50" s="251"/>
      <c r="L50" s="251"/>
    </row>
    <row r="51" spans="1:29" ht="18.75" hidden="1" x14ac:dyDescent="0.3">
      <c r="A51" s="251"/>
      <c r="B51" s="283" t="str">
        <f>"   xSqrt{(12+12)/2x(12+12)/2x("&amp;O52&amp;"+"&amp;O52&amp;")/2x("&amp;O52&amp;"+"&amp;O52&amp;")/2}"</f>
        <v xml:space="preserve">   xSqrt{(12+12)/2x(12+12)/2x(9+9)/2x(9+9)/2}</v>
      </c>
      <c r="C51" s="251" t="s">
        <v>134</v>
      </c>
      <c r="D51" s="282"/>
      <c r="E51" s="283"/>
      <c r="F51" s="283"/>
      <c r="G51" s="254"/>
      <c r="H51" s="254"/>
      <c r="I51" s="254"/>
      <c r="J51" s="254"/>
      <c r="K51" s="251"/>
      <c r="L51" s="251"/>
      <c r="N51" s="94" t="s">
        <v>148</v>
      </c>
      <c r="O51" s="94" t="s">
        <v>146</v>
      </c>
      <c r="P51" s="94" t="s">
        <v>150</v>
      </c>
      <c r="Q51" s="94"/>
      <c r="R51" s="82">
        <v>684.43299999999999</v>
      </c>
    </row>
    <row r="52" spans="1:29" ht="18.75" hidden="1" x14ac:dyDescent="0.3">
      <c r="A52" s="251"/>
      <c r="B52" s="283" t="str">
        <f>"   x{(1/4)x("&amp;P52&amp;"+"&amp;P52&amp;"+"&amp;P52&amp;"+"&amp;P52&amp;"/3}"</f>
        <v xml:space="preserve">   x{(1/4)x(6+6+6+6/3}</v>
      </c>
      <c r="C52" s="251" t="s">
        <v>134</v>
      </c>
      <c r="D52" s="282"/>
      <c r="E52" s="283"/>
      <c r="F52" s="283"/>
      <c r="G52" s="254"/>
      <c r="H52" s="254"/>
      <c r="I52" s="254"/>
      <c r="J52" s="254"/>
      <c r="K52" s="251"/>
      <c r="L52" s="251"/>
      <c r="N52" s="95">
        <f>N31</f>
        <v>12</v>
      </c>
      <c r="O52" s="96">
        <f>O31</f>
        <v>9</v>
      </c>
      <c r="P52" s="498">
        <f>P31</f>
        <v>6</v>
      </c>
      <c r="Q52" s="499"/>
      <c r="R52" s="82">
        <v>653.28399999999999</v>
      </c>
      <c r="AC52" s="84">
        <f>D69-F69</f>
        <v>48.288672000000133</v>
      </c>
    </row>
    <row r="53" spans="1:29" ht="18.75" hidden="1" x14ac:dyDescent="0.3">
      <c r="A53" s="251"/>
      <c r="B53" s="284"/>
      <c r="C53" s="251" t="s">
        <v>134</v>
      </c>
      <c r="D53" s="259">
        <f>ROUND(((N52*N52+O52*O52)+(SQRT(N52*N52*O52*O52)))*(P52/3),3)</f>
        <v>666</v>
      </c>
      <c r="E53" s="251" t="s">
        <v>169</v>
      </c>
      <c r="F53" s="251"/>
      <c r="G53" s="251"/>
      <c r="H53" s="251"/>
      <c r="I53" s="251"/>
      <c r="J53" s="251"/>
      <c r="K53" s="251"/>
      <c r="L53" s="251"/>
      <c r="R53" s="82">
        <f>R51-R52</f>
        <v>31.149000000000001</v>
      </c>
    </row>
    <row r="54" spans="1:29" ht="18.75" hidden="1" x14ac:dyDescent="0.3">
      <c r="A54" s="251"/>
      <c r="B54" s="251" t="s">
        <v>170</v>
      </c>
      <c r="C54" s="251" t="s">
        <v>134</v>
      </c>
      <c r="D54" s="259">
        <f>D53</f>
        <v>666</v>
      </c>
      <c r="E54" s="251" t="s">
        <v>171</v>
      </c>
      <c r="F54" s="285">
        <v>0.2</v>
      </c>
      <c r="G54" s="286" t="s">
        <v>134</v>
      </c>
      <c r="H54" s="287">
        <f>D54*20%</f>
        <v>133.20000000000002</v>
      </c>
      <c r="I54" s="251" t="s">
        <v>172</v>
      </c>
      <c r="J54" s="251"/>
      <c r="K54" s="251"/>
      <c r="L54" s="251"/>
    </row>
    <row r="55" spans="1:29" ht="18.75" x14ac:dyDescent="0.3">
      <c r="A55" s="251"/>
      <c r="B55" s="251"/>
      <c r="C55" s="251" t="s">
        <v>134</v>
      </c>
      <c r="D55" s="258">
        <v>2.4</v>
      </c>
      <c r="E55" s="251" t="s">
        <v>450</v>
      </c>
      <c r="F55" s="285"/>
      <c r="G55" s="286"/>
      <c r="H55" s="287"/>
      <c r="I55" s="251"/>
      <c r="J55" s="251"/>
      <c r="K55" s="251"/>
      <c r="L55" s="251"/>
    </row>
    <row r="56" spans="1:29" ht="21" x14ac:dyDescent="0.3">
      <c r="A56" s="251">
        <v>1</v>
      </c>
      <c r="B56" s="251" t="s">
        <v>546</v>
      </c>
      <c r="C56" s="251" t="s">
        <v>134</v>
      </c>
      <c r="D56" s="486" t="s">
        <v>504</v>
      </c>
      <c r="E56" s="486"/>
      <c r="F56" s="486"/>
      <c r="G56" s="251" t="s">
        <v>134</v>
      </c>
      <c r="H56" s="288">
        <f>9*9*1.25*1.25*1.25</f>
        <v>158.203125</v>
      </c>
      <c r="I56" s="289" t="s">
        <v>451</v>
      </c>
      <c r="J56" s="290"/>
      <c r="K56" s="290"/>
      <c r="L56" s="290"/>
    </row>
    <row r="57" spans="1:29" ht="21" x14ac:dyDescent="0.3">
      <c r="A57" s="251"/>
      <c r="B57" s="291" t="s">
        <v>547</v>
      </c>
      <c r="C57" s="251" t="s">
        <v>134</v>
      </c>
      <c r="D57" s="516" t="s">
        <v>504</v>
      </c>
      <c r="E57" s="516"/>
      <c r="F57" s="516"/>
      <c r="G57" s="251" t="s">
        <v>134</v>
      </c>
      <c r="H57" s="288">
        <f>9*9*1.25*1.25*1.25</f>
        <v>158.203125</v>
      </c>
      <c r="I57" s="289" t="s">
        <v>451</v>
      </c>
      <c r="J57" s="292"/>
      <c r="K57" s="292"/>
      <c r="L57" s="292"/>
    </row>
    <row r="58" spans="1:29" ht="21" x14ac:dyDescent="0.3">
      <c r="A58" s="251"/>
      <c r="B58" s="291" t="s">
        <v>548</v>
      </c>
      <c r="C58" s="251" t="s">
        <v>134</v>
      </c>
      <c r="D58" s="516" t="s">
        <v>505</v>
      </c>
      <c r="E58" s="516"/>
      <c r="F58" s="516"/>
      <c r="G58" s="251" t="s">
        <v>134</v>
      </c>
      <c r="H58" s="288">
        <f>8*8*1.25*1.25*0.625</f>
        <v>62.5</v>
      </c>
      <c r="I58" s="289" t="s">
        <v>451</v>
      </c>
      <c r="J58" s="292"/>
      <c r="K58" s="292"/>
      <c r="L58" s="292"/>
    </row>
    <row r="59" spans="1:29" ht="21" x14ac:dyDescent="0.3">
      <c r="A59" s="251"/>
      <c r="B59" s="251" t="s">
        <v>549</v>
      </c>
      <c r="C59" s="251" t="s">
        <v>134</v>
      </c>
      <c r="D59" s="516" t="s">
        <v>505</v>
      </c>
      <c r="E59" s="516"/>
      <c r="F59" s="516"/>
      <c r="G59" s="251" t="s">
        <v>134</v>
      </c>
      <c r="H59" s="288">
        <f>8*8*1.25*1.25*0.625</f>
        <v>62.5</v>
      </c>
      <c r="I59" s="289" t="s">
        <v>451</v>
      </c>
      <c r="J59" s="290"/>
      <c r="K59" s="290"/>
      <c r="L59" s="290"/>
    </row>
    <row r="60" spans="1:29" ht="26.25" customHeight="1" x14ac:dyDescent="0.3">
      <c r="A60" s="251"/>
      <c r="B60" s="291" t="s">
        <v>506</v>
      </c>
      <c r="C60" s="251" t="s">
        <v>134</v>
      </c>
      <c r="D60" s="292"/>
      <c r="E60" s="251"/>
      <c r="F60" s="285"/>
      <c r="G60" s="286"/>
      <c r="H60" s="293">
        <f>SUM(H56:H59)</f>
        <v>441.40625</v>
      </c>
      <c r="I60" s="289" t="s">
        <v>451</v>
      </c>
      <c r="J60" s="251"/>
      <c r="K60" s="251"/>
      <c r="L60" s="251"/>
    </row>
    <row r="61" spans="1:29" ht="37.5" x14ac:dyDescent="0.3">
      <c r="A61" s="251"/>
      <c r="B61" s="291" t="s">
        <v>516</v>
      </c>
      <c r="C61" s="251" t="s">
        <v>134</v>
      </c>
      <c r="D61" s="292"/>
      <c r="E61" s="503">
        <f>H60</f>
        <v>441.40625</v>
      </c>
      <c r="F61" s="504"/>
      <c r="G61" s="294">
        <v>2.4</v>
      </c>
      <c r="H61" s="295" t="s">
        <v>134</v>
      </c>
      <c r="I61" s="287">
        <f>(E61*G61)</f>
        <v>1059.375</v>
      </c>
      <c r="J61" s="251"/>
      <c r="K61" s="251"/>
      <c r="L61" s="251"/>
    </row>
    <row r="62" spans="1:29" ht="18.75" hidden="1" x14ac:dyDescent="0.3">
      <c r="A62" s="251"/>
      <c r="B62" s="251"/>
      <c r="C62" s="296"/>
      <c r="D62" s="290"/>
      <c r="E62" s="251"/>
      <c r="F62" s="285"/>
      <c r="G62" s="286"/>
      <c r="H62" s="287"/>
      <c r="I62" s="251"/>
      <c r="J62" s="251"/>
      <c r="K62" s="251"/>
      <c r="L62" s="251"/>
    </row>
    <row r="63" spans="1:29" ht="18.75" hidden="1" x14ac:dyDescent="0.3">
      <c r="A63" s="251"/>
      <c r="B63" s="251"/>
      <c r="C63" s="296"/>
      <c r="D63" s="290"/>
      <c r="E63" s="251"/>
      <c r="F63" s="285"/>
      <c r="G63" s="286"/>
      <c r="H63" s="287"/>
      <c r="I63" s="251"/>
      <c r="J63" s="251"/>
      <c r="K63" s="251"/>
      <c r="L63" s="251"/>
    </row>
    <row r="64" spans="1:29" ht="18.75" hidden="1" x14ac:dyDescent="0.3">
      <c r="A64" s="251"/>
      <c r="B64" s="251"/>
      <c r="C64" s="261"/>
      <c r="D64" s="261"/>
      <c r="E64" s="251"/>
      <c r="F64" s="251"/>
      <c r="G64" s="251"/>
      <c r="H64" s="251"/>
      <c r="I64" s="251"/>
      <c r="J64" s="251"/>
      <c r="K64" s="251"/>
      <c r="L64" s="251"/>
      <c r="N64" s="82">
        <f>(N52-O52)/P52</f>
        <v>0.5</v>
      </c>
      <c r="S64" s="84"/>
    </row>
    <row r="65" spans="1:25" ht="40.15" hidden="1" customHeight="1" x14ac:dyDescent="0.3">
      <c r="A65" s="251"/>
      <c r="B65" s="251" t="s">
        <v>173</v>
      </c>
      <c r="C65" s="296" t="s">
        <v>134</v>
      </c>
      <c r="D65" s="261">
        <f>D54-H54</f>
        <v>532.79999999999995</v>
      </c>
      <c r="E65" s="251" t="s">
        <v>172</v>
      </c>
      <c r="F65" s="251"/>
      <c r="G65" s="251"/>
      <c r="H65" s="251"/>
      <c r="I65" s="251"/>
      <c r="J65" s="251"/>
      <c r="K65" s="251"/>
      <c r="L65" s="251"/>
      <c r="N65" s="82">
        <f>1/N64</f>
        <v>2</v>
      </c>
    </row>
    <row r="66" spans="1:25" ht="18.75" hidden="1" x14ac:dyDescent="0.3">
      <c r="A66" s="251"/>
      <c r="B66" s="251" t="s">
        <v>452</v>
      </c>
      <c r="C66" s="296" t="s">
        <v>134</v>
      </c>
      <c r="D66" s="295">
        <f>D65</f>
        <v>532.79999999999995</v>
      </c>
      <c r="E66" s="251" t="s">
        <v>171</v>
      </c>
      <c r="F66" s="272">
        <v>1600</v>
      </c>
      <c r="G66" s="286" t="s">
        <v>134</v>
      </c>
      <c r="H66" s="286"/>
      <c r="I66" s="287">
        <f>D66*F66/1000</f>
        <v>852.4799999999999</v>
      </c>
      <c r="J66" s="251" t="s">
        <v>139</v>
      </c>
      <c r="K66" s="251"/>
      <c r="L66" s="251"/>
      <c r="U66" s="82">
        <v>5.75</v>
      </c>
      <c r="V66" s="82">
        <v>4</v>
      </c>
      <c r="W66" s="82">
        <f>V66*U66</f>
        <v>23</v>
      </c>
    </row>
    <row r="67" spans="1:25" ht="19.149999999999999" customHeight="1" x14ac:dyDescent="0.3">
      <c r="A67" s="251"/>
      <c r="B67" s="251" t="s">
        <v>174</v>
      </c>
      <c r="C67" s="261" t="s">
        <v>134</v>
      </c>
      <c r="D67" s="251"/>
      <c r="E67" s="491"/>
      <c r="F67" s="491"/>
      <c r="G67" s="491"/>
      <c r="H67" s="251"/>
      <c r="I67" s="297">
        <f>I61+I46</f>
        <v>1108.1076720000001</v>
      </c>
      <c r="J67" s="251" t="s">
        <v>139</v>
      </c>
      <c r="K67" s="251"/>
      <c r="L67" s="251"/>
      <c r="W67" s="82">
        <f>W66/4</f>
        <v>5.75</v>
      </c>
    </row>
    <row r="68" spans="1:25" ht="28.9" customHeight="1" x14ac:dyDescent="0.3">
      <c r="A68" s="251"/>
      <c r="B68" s="251"/>
      <c r="C68" s="261"/>
      <c r="D68" s="251"/>
      <c r="E68" s="251"/>
      <c r="F68" s="251"/>
      <c r="G68" s="251"/>
      <c r="H68" s="251"/>
      <c r="I68" s="287"/>
      <c r="J68" s="251"/>
      <c r="K68" s="251"/>
      <c r="L68" s="251"/>
    </row>
    <row r="69" spans="1:25" ht="18.75" x14ac:dyDescent="0.3">
      <c r="A69" s="251"/>
      <c r="B69" s="251" t="s">
        <v>175</v>
      </c>
      <c r="C69" s="261" t="s">
        <v>134</v>
      </c>
      <c r="D69" s="258">
        <f>I67</f>
        <v>1108.1076720000001</v>
      </c>
      <c r="E69" s="255" t="s">
        <v>160</v>
      </c>
      <c r="F69" s="258">
        <f>'Annexure A'!D43</f>
        <v>1059.819</v>
      </c>
      <c r="G69" s="251" t="s">
        <v>139</v>
      </c>
      <c r="H69" s="251"/>
      <c r="I69" s="251"/>
      <c r="J69" s="251"/>
      <c r="K69" s="251"/>
      <c r="L69" s="251"/>
      <c r="M69" s="98">
        <f>D69-F69</f>
        <v>48.288672000000133</v>
      </c>
      <c r="Y69" s="82">
        <f>666.91*1.25</f>
        <v>833.63749999999993</v>
      </c>
    </row>
    <row r="70" spans="1:25" ht="18.75" x14ac:dyDescent="0.3">
      <c r="A70" s="251"/>
      <c r="B70" s="251"/>
      <c r="C70" s="261"/>
      <c r="D70" s="251"/>
      <c r="E70" s="251"/>
      <c r="F70" s="251"/>
      <c r="G70" s="251"/>
      <c r="H70" s="251"/>
      <c r="I70" s="251"/>
      <c r="J70" s="251"/>
      <c r="K70" s="251"/>
      <c r="L70" s="251"/>
      <c r="N70" s="83">
        <v>11.5</v>
      </c>
      <c r="O70" s="83">
        <v>10.3</v>
      </c>
      <c r="P70" s="83" t="s">
        <v>176</v>
      </c>
      <c r="Q70" s="83">
        <v>10.3</v>
      </c>
      <c r="R70" s="83">
        <v>9.1</v>
      </c>
      <c r="T70" s="82">
        <f>(N70*O70+Q70*R70)/2</f>
        <v>106.09</v>
      </c>
      <c r="U70" s="97">
        <f>W67</f>
        <v>5.75</v>
      </c>
      <c r="V70" s="82">
        <f>U70*T70</f>
        <v>610.01750000000004</v>
      </c>
    </row>
    <row r="71" spans="1:25" ht="18.75" x14ac:dyDescent="0.3">
      <c r="A71" s="251"/>
      <c r="B71" s="267" t="s">
        <v>177</v>
      </c>
      <c r="C71" s="261"/>
      <c r="D71" s="251"/>
      <c r="E71" s="251"/>
      <c r="F71" s="251"/>
      <c r="G71" s="251"/>
      <c r="H71" s="251"/>
      <c r="I71" s="251"/>
      <c r="J71" s="251"/>
      <c r="K71" s="251"/>
      <c r="L71" s="251"/>
    </row>
    <row r="72" spans="1:25" ht="18.75" x14ac:dyDescent="0.3">
      <c r="A72" s="251"/>
      <c r="B72" s="251"/>
      <c r="C72" s="261"/>
      <c r="D72" s="251"/>
      <c r="E72" s="251"/>
      <c r="F72" s="251"/>
      <c r="G72" s="251"/>
      <c r="H72" s="251"/>
      <c r="I72" s="251"/>
      <c r="J72" s="251"/>
      <c r="K72" s="251"/>
      <c r="L72" s="251"/>
    </row>
    <row r="73" spans="1:25" ht="18.75" x14ac:dyDescent="0.3">
      <c r="A73" s="251"/>
      <c r="B73" s="251" t="s">
        <v>156</v>
      </c>
      <c r="C73" s="296" t="s">
        <v>134</v>
      </c>
      <c r="D73" s="251">
        <f>D23</f>
        <v>847.85500000000002</v>
      </c>
      <c r="E73" s="251" t="s">
        <v>139</v>
      </c>
      <c r="F73" s="251"/>
      <c r="G73" s="251"/>
      <c r="H73" s="251"/>
      <c r="I73" s="251"/>
      <c r="J73" s="251"/>
      <c r="K73" s="251"/>
      <c r="L73" s="251"/>
    </row>
    <row r="74" spans="1:25" ht="18.75" x14ac:dyDescent="0.3">
      <c r="A74" s="251"/>
      <c r="B74" s="251" t="s">
        <v>178</v>
      </c>
      <c r="C74" s="296" t="s">
        <v>134</v>
      </c>
      <c r="D74" s="272">
        <v>2</v>
      </c>
      <c r="E74" s="251"/>
      <c r="F74" s="251"/>
      <c r="G74" s="251"/>
      <c r="H74" s="251"/>
      <c r="I74" s="251"/>
      <c r="J74" s="251"/>
      <c r="K74" s="251"/>
      <c r="L74" s="251"/>
    </row>
    <row r="75" spans="1:25" ht="18.75" x14ac:dyDescent="0.3">
      <c r="A75" s="251"/>
      <c r="B75" s="251" t="s">
        <v>179</v>
      </c>
      <c r="C75" s="296" t="s">
        <v>134</v>
      </c>
      <c r="D75" s="272">
        <f>'Annexure A'!D64:E64/1000</f>
        <v>0.375</v>
      </c>
      <c r="E75" s="251"/>
      <c r="F75" s="251"/>
      <c r="G75" s="251"/>
      <c r="H75" s="251"/>
      <c r="I75" s="251"/>
      <c r="J75" s="251"/>
      <c r="K75" s="251"/>
      <c r="L75" s="251"/>
    </row>
    <row r="76" spans="1:25" ht="18.75" x14ac:dyDescent="0.3">
      <c r="A76" s="251"/>
      <c r="B76" s="251"/>
      <c r="C76" s="286"/>
      <c r="D76" s="251"/>
      <c r="E76" s="251"/>
      <c r="F76" s="251"/>
      <c r="G76" s="251"/>
      <c r="H76" s="251"/>
      <c r="I76" s="251"/>
      <c r="J76" s="251"/>
      <c r="K76" s="251"/>
      <c r="L76" s="251"/>
      <c r="R76" s="82">
        <f>12-0.3</f>
        <v>11.7</v>
      </c>
    </row>
    <row r="77" spans="1:25" ht="18.75" x14ac:dyDescent="0.3">
      <c r="A77" s="251"/>
      <c r="B77" s="251"/>
      <c r="C77" s="286"/>
      <c r="D77" s="251"/>
      <c r="E77" s="251"/>
      <c r="F77" s="251"/>
      <c r="G77" s="251"/>
      <c r="H77" s="251"/>
      <c r="I77" s="251"/>
      <c r="J77" s="251"/>
      <c r="K77" s="251"/>
      <c r="L77" s="251"/>
      <c r="R77" s="82">
        <f>R76/2</f>
        <v>5.85</v>
      </c>
    </row>
    <row r="78" spans="1:25" ht="18.75" x14ac:dyDescent="0.3">
      <c r="A78" s="251"/>
      <c r="B78" s="251"/>
      <c r="C78" s="286"/>
      <c r="D78" s="251"/>
      <c r="E78" s="251"/>
      <c r="F78" s="251"/>
      <c r="G78" s="298">
        <v>12</v>
      </c>
      <c r="H78" s="251"/>
      <c r="I78" s="251"/>
      <c r="J78" s="251"/>
      <c r="K78" s="251"/>
      <c r="L78" s="251"/>
    </row>
    <row r="79" spans="1:25" ht="18.75" x14ac:dyDescent="0.3">
      <c r="A79" s="251"/>
      <c r="B79" s="251"/>
      <c r="C79" s="286"/>
      <c r="D79" s="299">
        <f>G78/2</f>
        <v>6</v>
      </c>
      <c r="E79" s="287"/>
      <c r="F79" s="251"/>
      <c r="G79" s="505">
        <v>0</v>
      </c>
      <c r="H79" s="251"/>
      <c r="I79" s="300">
        <f>G78/2</f>
        <v>6</v>
      </c>
      <c r="J79" s="251"/>
      <c r="K79" s="251"/>
      <c r="L79" s="251"/>
    </row>
    <row r="80" spans="1:25" ht="27" customHeight="1" thickBot="1" x14ac:dyDescent="0.35">
      <c r="A80" s="251"/>
      <c r="B80" s="251"/>
      <c r="C80" s="286"/>
      <c r="D80" s="301"/>
      <c r="E80" s="302">
        <f>D79-D81</f>
        <v>6</v>
      </c>
      <c r="F80" s="301"/>
      <c r="G80" s="506"/>
      <c r="H80" s="502">
        <f>I79-J81</f>
        <v>6</v>
      </c>
      <c r="I80" s="502"/>
      <c r="J80" s="301"/>
      <c r="K80" s="287">
        <f>I93</f>
        <v>92.341999999999999</v>
      </c>
      <c r="L80" s="251" t="s">
        <v>180</v>
      </c>
    </row>
    <row r="81" spans="1:14" ht="19.5" thickTop="1" x14ac:dyDescent="0.3">
      <c r="A81" s="251"/>
      <c r="B81" s="251"/>
      <c r="C81" s="286"/>
      <c r="D81" s="303">
        <v>0</v>
      </c>
      <c r="E81" s="304"/>
      <c r="F81" s="304"/>
      <c r="G81" s="304"/>
      <c r="H81" s="304"/>
      <c r="I81" s="304"/>
      <c r="J81" s="305">
        <f>D81</f>
        <v>0</v>
      </c>
      <c r="K81" s="251" t="s">
        <v>275</v>
      </c>
      <c r="L81" s="251"/>
    </row>
    <row r="82" spans="1:14" ht="18.75" x14ac:dyDescent="0.3">
      <c r="A82" s="251"/>
      <c r="B82" s="251"/>
      <c r="C82" s="286"/>
      <c r="D82" s="251"/>
      <c r="E82" s="251"/>
      <c r="F82" s="251"/>
      <c r="G82" s="251"/>
      <c r="H82" s="251"/>
      <c r="I82" s="251"/>
      <c r="J82" s="251"/>
      <c r="K82" s="251"/>
      <c r="L82" s="251"/>
    </row>
    <row r="83" spans="1:14" ht="18.75" x14ac:dyDescent="0.3">
      <c r="A83" s="251"/>
      <c r="B83" s="251"/>
      <c r="C83" s="286"/>
      <c r="D83" s="251"/>
      <c r="E83" s="251"/>
      <c r="F83" s="251"/>
      <c r="G83" s="251"/>
      <c r="H83" s="251"/>
      <c r="I83" s="251"/>
      <c r="J83" s="251"/>
      <c r="K83" s="251"/>
      <c r="L83" s="251"/>
    </row>
    <row r="84" spans="1:14" ht="37.15" customHeight="1" x14ac:dyDescent="0.3">
      <c r="A84" s="251"/>
      <c r="B84" s="287">
        <f>(D87-D88)/2</f>
        <v>130.12633600000004</v>
      </c>
      <c r="C84" s="286"/>
      <c r="D84" s="306"/>
      <c r="E84" s="251"/>
      <c r="F84" s="251"/>
      <c r="G84" s="251"/>
      <c r="H84" s="251"/>
      <c r="I84" s="251"/>
      <c r="J84" s="261"/>
      <c r="K84" s="307">
        <f>ROUND(B84,3)</f>
        <v>130.126</v>
      </c>
      <c r="L84" s="251"/>
    </row>
    <row r="85" spans="1:14" ht="13.5" customHeight="1" x14ac:dyDescent="0.3">
      <c r="A85" s="251"/>
      <c r="B85" s="251"/>
      <c r="C85" s="251"/>
      <c r="D85" s="251"/>
      <c r="E85" s="251"/>
      <c r="F85" s="251"/>
      <c r="G85" s="251"/>
      <c r="H85" s="251"/>
      <c r="I85" s="251"/>
      <c r="J85" s="251"/>
      <c r="K85" s="251"/>
      <c r="L85" s="251"/>
    </row>
    <row r="86" spans="1:14" ht="13.5" customHeight="1" x14ac:dyDescent="0.25"/>
    <row r="87" spans="1:14" s="251" customFormat="1" ht="18.75" x14ac:dyDescent="0.3">
      <c r="B87" s="251" t="s">
        <v>181</v>
      </c>
      <c r="C87" s="251" t="s">
        <v>134</v>
      </c>
      <c r="D87" s="287">
        <f>D69</f>
        <v>1108.1076720000001</v>
      </c>
      <c r="E87" s="251" t="s">
        <v>139</v>
      </c>
    </row>
    <row r="88" spans="1:14" s="251" customFormat="1" ht="18.75" x14ac:dyDescent="0.3">
      <c r="B88" s="251" t="s">
        <v>137</v>
      </c>
      <c r="C88" s="251" t="s">
        <v>134</v>
      </c>
      <c r="D88" s="251">
        <f>D73</f>
        <v>847.85500000000002</v>
      </c>
      <c r="E88" s="251" t="s">
        <v>139</v>
      </c>
    </row>
    <row r="89" spans="1:14" s="251" customFormat="1" ht="18.75" x14ac:dyDescent="0.3">
      <c r="B89" s="251" t="s">
        <v>182</v>
      </c>
      <c r="C89" s="251" t="s">
        <v>134</v>
      </c>
      <c r="D89" s="251">
        <f>B41</f>
        <v>4</v>
      </c>
      <c r="E89" s="251" t="s">
        <v>183</v>
      </c>
    </row>
    <row r="90" spans="1:14" s="251" customFormat="1" ht="18.75" x14ac:dyDescent="0.3"/>
    <row r="91" spans="1:14" s="251" customFormat="1" ht="18.75" x14ac:dyDescent="0.3">
      <c r="B91" s="251" t="s">
        <v>184</v>
      </c>
      <c r="C91" s="308" t="s">
        <v>134</v>
      </c>
      <c r="D91" s="251" t="s">
        <v>185</v>
      </c>
      <c r="E91" s="259" t="s">
        <v>171</v>
      </c>
      <c r="F91" s="286">
        <v>0.5</v>
      </c>
      <c r="G91" s="286" t="s">
        <v>134</v>
      </c>
      <c r="H91" s="251">
        <v>6</v>
      </c>
      <c r="N91" s="309">
        <v>-0.55000000000000004</v>
      </c>
    </row>
    <row r="92" spans="1:14" s="251" customFormat="1" ht="18.75" x14ac:dyDescent="0.3">
      <c r="C92" s="255"/>
      <c r="N92" s="310">
        <f>SUM(N91:N91)</f>
        <v>-0.55000000000000004</v>
      </c>
    </row>
    <row r="93" spans="1:14" s="251" customFormat="1" ht="18.75" x14ac:dyDescent="0.3">
      <c r="B93" s="479" t="s">
        <v>186</v>
      </c>
      <c r="C93" s="478" t="s">
        <v>134</v>
      </c>
      <c r="D93" s="311">
        <f>I67</f>
        <v>1108.1076720000001</v>
      </c>
      <c r="E93" s="479" t="s">
        <v>187</v>
      </c>
      <c r="F93" s="479" t="s">
        <v>188</v>
      </c>
      <c r="G93" s="479">
        <v>12</v>
      </c>
      <c r="H93" s="478" t="s">
        <v>134</v>
      </c>
      <c r="I93" s="492">
        <f>ROUND((D93/(12*12))*G93,3)</f>
        <v>92.341999999999999</v>
      </c>
      <c r="J93" s="479" t="s">
        <v>189</v>
      </c>
      <c r="K93" s="253"/>
    </row>
    <row r="94" spans="1:14" s="251" customFormat="1" ht="18.75" x14ac:dyDescent="0.3">
      <c r="B94" s="479"/>
      <c r="C94" s="478"/>
      <c r="D94" s="261" t="s">
        <v>190</v>
      </c>
      <c r="E94" s="479"/>
      <c r="F94" s="479"/>
      <c r="G94" s="479"/>
      <c r="H94" s="479"/>
      <c r="I94" s="492"/>
      <c r="J94" s="479"/>
      <c r="K94" s="253"/>
    </row>
    <row r="95" spans="1:14" s="251" customFormat="1" ht="24" customHeight="1" x14ac:dyDescent="0.3">
      <c r="B95" s="255" t="s">
        <v>191</v>
      </c>
      <c r="C95" s="308"/>
      <c r="D95" s="250" t="s">
        <v>381</v>
      </c>
      <c r="E95" s="312" t="s">
        <v>171</v>
      </c>
      <c r="F95" s="312" t="s">
        <v>550</v>
      </c>
      <c r="G95" s="308" t="s">
        <v>192</v>
      </c>
      <c r="H95" s="255" t="s">
        <v>509</v>
      </c>
      <c r="I95" s="258"/>
      <c r="J95" s="255"/>
      <c r="K95" s="253"/>
    </row>
    <row r="96" spans="1:14" s="251" customFormat="1" ht="18.75" x14ac:dyDescent="0.3">
      <c r="B96" s="255"/>
      <c r="C96" s="308"/>
      <c r="D96" s="261"/>
      <c r="E96" s="255">
        <v>2</v>
      </c>
      <c r="F96" s="255"/>
      <c r="G96" s="255"/>
      <c r="H96" s="255"/>
      <c r="I96" s="258"/>
      <c r="J96" s="255"/>
      <c r="K96" s="253"/>
    </row>
    <row r="97" spans="2:14" s="251" customFormat="1" ht="18.75" x14ac:dyDescent="0.3">
      <c r="C97" s="255"/>
    </row>
    <row r="98" spans="2:14" s="251" customFormat="1" ht="13.5" customHeight="1" x14ac:dyDescent="0.3">
      <c r="B98" s="479" t="s">
        <v>191</v>
      </c>
      <c r="C98" s="478" t="s">
        <v>134</v>
      </c>
      <c r="D98" s="313">
        <f>I93</f>
        <v>92.341999999999999</v>
      </c>
      <c r="E98" s="314" t="s">
        <v>171</v>
      </c>
      <c r="F98" s="315" t="str">
        <f>CONCATENATE(E80," x ",H80)</f>
        <v>6 x 6</v>
      </c>
      <c r="G98" s="308" t="s">
        <v>192</v>
      </c>
      <c r="H98" s="253">
        <f>K84</f>
        <v>130.126</v>
      </c>
      <c r="I98" s="255" t="s">
        <v>171</v>
      </c>
      <c r="J98" s="316">
        <f>H80</f>
        <v>6</v>
      </c>
      <c r="N98" s="317">
        <f>H98*J98</f>
        <v>780.75600000000009</v>
      </c>
    </row>
    <row r="99" spans="2:14" s="251" customFormat="1" ht="13.5" customHeight="1" x14ac:dyDescent="0.3">
      <c r="B99" s="479"/>
      <c r="C99" s="479"/>
      <c r="D99" s="491">
        <v>2</v>
      </c>
      <c r="E99" s="491"/>
      <c r="F99" s="491"/>
      <c r="H99" s="253"/>
      <c r="I99" s="253"/>
      <c r="J99" s="253"/>
      <c r="K99" s="253"/>
    </row>
    <row r="100" spans="2:14" s="251" customFormat="1" ht="18.75" x14ac:dyDescent="0.3">
      <c r="C100" s="255" t="s">
        <v>134</v>
      </c>
      <c r="D100" s="527">
        <f>(D98*(H80*E80))/2</f>
        <v>1662.1559999999999</v>
      </c>
      <c r="E100" s="527"/>
      <c r="F100" s="527"/>
      <c r="G100" s="308" t="s">
        <v>192</v>
      </c>
      <c r="H100" s="510">
        <f>H98*J98</f>
        <v>780.75600000000009</v>
      </c>
      <c r="I100" s="510"/>
      <c r="J100" s="510"/>
      <c r="K100" s="510"/>
      <c r="N100" s="317">
        <f>D98*H91</f>
        <v>554.05200000000002</v>
      </c>
    </row>
    <row r="101" spans="2:14" s="251" customFormat="1" ht="18.75" x14ac:dyDescent="0.3">
      <c r="C101" s="308" t="s">
        <v>134</v>
      </c>
      <c r="D101" s="318"/>
      <c r="E101" s="319"/>
      <c r="F101" s="528">
        <f>D100-H100</f>
        <v>881.39999999999986</v>
      </c>
      <c r="G101" s="529"/>
      <c r="H101" s="319" t="s">
        <v>193</v>
      </c>
      <c r="K101" s="287">
        <f>F101</f>
        <v>881.39999999999986</v>
      </c>
      <c r="L101" s="251" t="str">
        <f>H101</f>
        <v>MT-m</v>
      </c>
      <c r="N101" s="317">
        <f>N100/2</f>
        <v>277.02600000000001</v>
      </c>
    </row>
    <row r="102" spans="2:14" s="251" customFormat="1" ht="15.75" customHeight="1" x14ac:dyDescent="0.3">
      <c r="B102" s="261" t="s">
        <v>194</v>
      </c>
      <c r="C102" s="308" t="s">
        <v>134</v>
      </c>
      <c r="D102" s="320" t="s">
        <v>510</v>
      </c>
      <c r="E102" s="261" t="s">
        <v>171</v>
      </c>
      <c r="F102" s="284" t="s">
        <v>511</v>
      </c>
      <c r="G102" s="308" t="s">
        <v>192</v>
      </c>
      <c r="H102" s="251" t="s">
        <v>512</v>
      </c>
      <c r="K102" s="491"/>
      <c r="L102" s="491"/>
      <c r="N102" s="317"/>
    </row>
    <row r="103" spans="2:14" s="251" customFormat="1" ht="11.25" customHeight="1" x14ac:dyDescent="0.3">
      <c r="N103" s="317">
        <f>N101-N98</f>
        <v>-503.73000000000008</v>
      </c>
    </row>
    <row r="104" spans="2:14" s="251" customFormat="1" ht="18.75" x14ac:dyDescent="0.3">
      <c r="B104" s="261" t="s">
        <v>194</v>
      </c>
      <c r="C104" s="308" t="s">
        <v>134</v>
      </c>
      <c r="D104" s="287">
        <f>I93</f>
        <v>92.341999999999999</v>
      </c>
      <c r="E104" s="255" t="s">
        <v>171</v>
      </c>
      <c r="F104" s="287">
        <f>J98</f>
        <v>6</v>
      </c>
      <c r="G104" s="308" t="s">
        <v>192</v>
      </c>
      <c r="H104" s="251">
        <f>H98</f>
        <v>130.126</v>
      </c>
      <c r="I104" s="296" t="s">
        <v>134</v>
      </c>
      <c r="K104" s="321">
        <f>D104*F104-H104</f>
        <v>423.92600000000004</v>
      </c>
      <c r="L104" s="251" t="s">
        <v>139</v>
      </c>
    </row>
    <row r="105" spans="2:14" s="251" customFormat="1" ht="18.75" x14ac:dyDescent="0.3">
      <c r="C105" s="255"/>
      <c r="K105" s="322"/>
    </row>
    <row r="106" spans="2:14" s="251" customFormat="1" ht="18.75" x14ac:dyDescent="0.3">
      <c r="B106" s="255" t="s">
        <v>195</v>
      </c>
      <c r="C106" s="308" t="s">
        <v>134</v>
      </c>
      <c r="D106" s="287">
        <f>F101</f>
        <v>881.39999999999986</v>
      </c>
      <c r="E106" s="308" t="s">
        <v>196</v>
      </c>
      <c r="F106" s="284">
        <f>B41</f>
        <v>4</v>
      </c>
      <c r="I106" s="308" t="s">
        <v>134</v>
      </c>
      <c r="K106" s="323">
        <f>D106/F106</f>
        <v>220.34999999999997</v>
      </c>
      <c r="L106" s="251" t="s">
        <v>139</v>
      </c>
    </row>
    <row r="107" spans="2:14" s="251" customFormat="1" ht="18.75" x14ac:dyDescent="0.3">
      <c r="B107" s="255"/>
      <c r="C107" s="255"/>
      <c r="F107" s="284"/>
      <c r="K107" s="324"/>
    </row>
    <row r="108" spans="2:14" s="251" customFormat="1" ht="18.75" x14ac:dyDescent="0.3">
      <c r="B108" s="255" t="s">
        <v>197</v>
      </c>
      <c r="C108" s="308" t="s">
        <v>134</v>
      </c>
      <c r="D108" s="317">
        <f>K104</f>
        <v>423.92600000000004</v>
      </c>
      <c r="E108" s="308" t="s">
        <v>196</v>
      </c>
      <c r="F108" s="284">
        <f>B41</f>
        <v>4</v>
      </c>
      <c r="I108" s="308" t="s">
        <v>134</v>
      </c>
      <c r="K108" s="323">
        <f>D108/F108</f>
        <v>105.98150000000001</v>
      </c>
      <c r="L108" s="251" t="s">
        <v>139</v>
      </c>
    </row>
    <row r="109" spans="2:14" s="251" customFormat="1" ht="18.75" x14ac:dyDescent="0.3">
      <c r="B109" s="255"/>
      <c r="K109" s="319"/>
    </row>
    <row r="110" spans="2:14" s="251" customFormat="1" ht="42" customHeight="1" x14ac:dyDescent="0.3">
      <c r="B110" s="511" t="str">
        <f>C40</f>
        <v xml:space="preserve">WPB-800x300x262.33 with web plate on both sides ( 12 mm thick Ms plate) &amp; Bottom Flange plate of 30 mm thick 330 mm wide. </v>
      </c>
      <c r="C110" s="511"/>
      <c r="D110" s="511"/>
      <c r="E110" s="511"/>
      <c r="F110" s="511"/>
      <c r="G110" s="511"/>
      <c r="H110" s="511"/>
      <c r="I110" s="511"/>
      <c r="J110" s="511"/>
      <c r="K110" s="511"/>
      <c r="L110" s="511"/>
    </row>
    <row r="111" spans="2:14" s="251" customFormat="1" ht="18.75" x14ac:dyDescent="0.3">
      <c r="B111" s="251" t="s">
        <v>198</v>
      </c>
      <c r="C111" s="308" t="s">
        <v>134</v>
      </c>
      <c r="D111" s="251">
        <f>H111*10000</f>
        <v>4282158000</v>
      </c>
      <c r="E111" s="251" t="s">
        <v>199</v>
      </c>
      <c r="F111" s="308" t="s">
        <v>134</v>
      </c>
      <c r="H111" s="325">
        <f>'Main Beam'!J28</f>
        <v>428215.8</v>
      </c>
      <c r="I111" s="251" t="s">
        <v>200</v>
      </c>
      <c r="K111" s="319"/>
      <c r="M111" s="251">
        <f>D111/1000000000</f>
        <v>4.2821579999999999</v>
      </c>
    </row>
    <row r="112" spans="2:14" s="251" customFormat="1" ht="18.75" x14ac:dyDescent="0.3">
      <c r="B112" s="251" t="s">
        <v>201</v>
      </c>
      <c r="C112" s="308" t="s">
        <v>134</v>
      </c>
      <c r="D112" s="251">
        <f>10*H112</f>
        <v>400</v>
      </c>
      <c r="E112" s="251" t="s">
        <v>202</v>
      </c>
      <c r="F112" s="308" t="s">
        <v>134</v>
      </c>
      <c r="H112" s="251">
        <f>'Main Beam'!C12/10</f>
        <v>40</v>
      </c>
      <c r="I112" s="251" t="s">
        <v>203</v>
      </c>
      <c r="K112" s="319"/>
    </row>
    <row r="113" spans="2:16" s="251" customFormat="1" ht="18.75" x14ac:dyDescent="0.3">
      <c r="B113" s="251" t="s">
        <v>204</v>
      </c>
      <c r="C113" s="308" t="s">
        <v>134</v>
      </c>
      <c r="D113" s="251">
        <f>H113*10</f>
        <v>734</v>
      </c>
      <c r="E113" s="251" t="s">
        <v>202</v>
      </c>
      <c r="F113" s="308" t="s">
        <v>134</v>
      </c>
      <c r="H113" s="251">
        <f>'Main Beam'!C10/10</f>
        <v>73.400000000000006</v>
      </c>
      <c r="I113" s="251" t="s">
        <v>203</v>
      </c>
      <c r="K113" s="319"/>
    </row>
    <row r="114" spans="2:16" s="251" customFormat="1" ht="18.75" x14ac:dyDescent="0.3">
      <c r="B114" s="251" t="s">
        <v>205</v>
      </c>
      <c r="C114" s="308" t="s">
        <v>134</v>
      </c>
      <c r="D114" s="251">
        <f>H114*10</f>
        <v>41.5</v>
      </c>
      <c r="E114" s="251" t="s">
        <v>202</v>
      </c>
      <c r="F114" s="308" t="s">
        <v>134</v>
      </c>
      <c r="H114" s="251">
        <f>'Main Beam'!C8/10</f>
        <v>4.1500000000000004</v>
      </c>
      <c r="I114" s="251" t="s">
        <v>203</v>
      </c>
      <c r="K114" s="319"/>
    </row>
    <row r="115" spans="2:16" s="251" customFormat="1" ht="18.75" x14ac:dyDescent="0.3">
      <c r="B115" s="251" t="s">
        <v>223</v>
      </c>
      <c r="C115" s="308" t="s">
        <v>134</v>
      </c>
      <c r="D115" s="251">
        <f>H115*10000</f>
        <v>107053950</v>
      </c>
      <c r="E115" s="251" t="s">
        <v>225</v>
      </c>
      <c r="F115" s="308" t="s">
        <v>134</v>
      </c>
      <c r="H115" s="317">
        <f>'Main Beam'!E32</f>
        <v>10705.395</v>
      </c>
      <c r="I115" s="251" t="s">
        <v>211</v>
      </c>
      <c r="K115" s="319"/>
    </row>
    <row r="116" spans="2:16" s="251" customFormat="1" ht="18.75" x14ac:dyDescent="0.3">
      <c r="B116" s="251" t="s">
        <v>551</v>
      </c>
      <c r="C116" s="308"/>
      <c r="D116" s="496" t="s">
        <v>513</v>
      </c>
      <c r="E116" s="496"/>
      <c r="F116" s="308"/>
      <c r="H116" s="317"/>
      <c r="K116" s="319"/>
    </row>
    <row r="117" spans="2:16" s="251" customFormat="1" ht="18.75" x14ac:dyDescent="0.3">
      <c r="C117" s="308"/>
      <c r="D117" s="483" t="s">
        <v>198</v>
      </c>
      <c r="E117" s="483"/>
      <c r="F117" s="308"/>
      <c r="H117" s="317"/>
      <c r="K117" s="319"/>
    </row>
    <row r="118" spans="2:16" s="251" customFormat="1" ht="18.75" x14ac:dyDescent="0.3">
      <c r="K118" s="319"/>
    </row>
    <row r="119" spans="2:16" s="251" customFormat="1" ht="18.75" x14ac:dyDescent="0.3">
      <c r="B119" s="251" t="s">
        <v>520</v>
      </c>
      <c r="C119" s="308" t="s">
        <v>134</v>
      </c>
      <c r="D119" s="287">
        <f>K106</f>
        <v>220.34999999999997</v>
      </c>
      <c r="E119" s="251" t="s">
        <v>171</v>
      </c>
      <c r="F119" s="255">
        <v>100000</v>
      </c>
      <c r="G119" s="251" t="s">
        <v>171</v>
      </c>
      <c r="H119" s="284">
        <f>H112</f>
        <v>40</v>
      </c>
      <c r="I119" s="308" t="s">
        <v>134</v>
      </c>
      <c r="K119" s="326">
        <f>D119*F119*H119/D120</f>
        <v>2058.3079839650941</v>
      </c>
      <c r="L119" s="251" t="s">
        <v>206</v>
      </c>
    </row>
    <row r="120" spans="2:16" s="251" customFormat="1" ht="18.75" x14ac:dyDescent="0.3">
      <c r="D120" s="483">
        <f>H111</f>
        <v>428215.8</v>
      </c>
      <c r="E120" s="483"/>
      <c r="F120" s="483"/>
      <c r="G120" s="483"/>
      <c r="H120" s="483"/>
      <c r="I120" s="308"/>
      <c r="K120" s="319"/>
    </row>
    <row r="121" spans="2:16" s="251" customFormat="1" ht="18.75" x14ac:dyDescent="0.3">
      <c r="D121" s="261"/>
      <c r="E121" s="261"/>
      <c r="F121" s="261"/>
      <c r="G121" s="261"/>
      <c r="H121" s="261"/>
      <c r="I121" s="308" t="s">
        <v>207</v>
      </c>
      <c r="J121" s="251" t="s">
        <v>552</v>
      </c>
      <c r="O121" s="251" t="s">
        <v>508</v>
      </c>
      <c r="P121" s="251">
        <v>1650</v>
      </c>
    </row>
    <row r="122" spans="2:16" s="251" customFormat="1" ht="18.75" x14ac:dyDescent="0.3">
      <c r="D122" s="261"/>
      <c r="E122" s="261"/>
      <c r="F122" s="261"/>
      <c r="G122" s="261"/>
      <c r="H122" s="261"/>
      <c r="J122" s="320"/>
      <c r="K122" s="324"/>
    </row>
    <row r="123" spans="2:16" s="251" customFormat="1" ht="18.75" x14ac:dyDescent="0.3">
      <c r="I123" s="261" t="s">
        <v>134</v>
      </c>
      <c r="J123" s="325">
        <f>1650*1.25</f>
        <v>2062.5</v>
      </c>
      <c r="K123" s="251" t="s">
        <v>206</v>
      </c>
    </row>
    <row r="124" spans="2:16" s="251" customFormat="1" ht="18.75" x14ac:dyDescent="0.3">
      <c r="I124" s="261"/>
      <c r="K124" s="319"/>
    </row>
    <row r="125" spans="2:16" s="251" customFormat="1" ht="18.75" x14ac:dyDescent="0.3">
      <c r="I125" s="308" t="s">
        <v>134</v>
      </c>
      <c r="J125" s="319" t="s">
        <v>208</v>
      </c>
      <c r="K125" s="327"/>
    </row>
    <row r="126" spans="2:16" s="251" customFormat="1" ht="18.75" x14ac:dyDescent="0.3">
      <c r="B126" s="251" t="s">
        <v>517</v>
      </c>
      <c r="C126" s="308"/>
      <c r="D126" s="496" t="s">
        <v>518</v>
      </c>
      <c r="E126" s="496"/>
      <c r="F126" s="308"/>
      <c r="H126" s="317"/>
      <c r="K126" s="319"/>
    </row>
    <row r="127" spans="2:16" s="251" customFormat="1" ht="20.25" x14ac:dyDescent="0.35">
      <c r="C127" s="308"/>
      <c r="D127" s="483" t="s">
        <v>519</v>
      </c>
      <c r="E127" s="483"/>
      <c r="F127" s="308"/>
      <c r="H127" s="317"/>
      <c r="K127" s="319"/>
    </row>
    <row r="128" spans="2:16" s="251" customFormat="1" ht="18.75" x14ac:dyDescent="0.3">
      <c r="I128" s="261"/>
      <c r="K128" s="319"/>
    </row>
    <row r="129" spans="2:16" s="251" customFormat="1" ht="18.75" x14ac:dyDescent="0.3">
      <c r="B129" s="251" t="s">
        <v>209</v>
      </c>
      <c r="C129" s="308" t="s">
        <v>134</v>
      </c>
      <c r="D129" s="287">
        <f>K108</f>
        <v>105.98150000000001</v>
      </c>
      <c r="E129" s="312" t="s">
        <v>171</v>
      </c>
      <c r="F129" s="284">
        <v>1000</v>
      </c>
      <c r="I129" s="308" t="s">
        <v>134</v>
      </c>
      <c r="K129" s="326">
        <f>D129*F129/D130/F130</f>
        <v>347.9252158497751</v>
      </c>
      <c r="L129" s="251" t="s">
        <v>206</v>
      </c>
    </row>
    <row r="130" spans="2:16" s="251" customFormat="1" ht="18.75" x14ac:dyDescent="0.3">
      <c r="D130" s="328">
        <f>H113</f>
        <v>73.400000000000006</v>
      </c>
      <c r="E130" s="255" t="s">
        <v>171</v>
      </c>
      <c r="F130" s="329">
        <f>H114</f>
        <v>4.1500000000000004</v>
      </c>
      <c r="K130" s="319"/>
      <c r="O130" s="251" t="s">
        <v>507</v>
      </c>
      <c r="P130" s="251">
        <v>1000</v>
      </c>
    </row>
    <row r="131" spans="2:16" s="251" customFormat="1" ht="18.75" x14ac:dyDescent="0.3">
      <c r="I131" s="308" t="s">
        <v>207</v>
      </c>
      <c r="J131" s="251" t="s">
        <v>553</v>
      </c>
    </row>
    <row r="132" spans="2:16" s="251" customFormat="1" ht="18.75" x14ac:dyDescent="0.3">
      <c r="J132" s="320"/>
      <c r="K132" s="324"/>
    </row>
    <row r="133" spans="2:16" s="251" customFormat="1" ht="18.75" x14ac:dyDescent="0.3">
      <c r="I133" s="261" t="s">
        <v>134</v>
      </c>
      <c r="J133" s="325">
        <f>1000*1.25</f>
        <v>1250</v>
      </c>
      <c r="K133" s="251" t="s">
        <v>206</v>
      </c>
    </row>
    <row r="134" spans="2:16" s="251" customFormat="1" ht="18.75" x14ac:dyDescent="0.3">
      <c r="I134" s="261"/>
      <c r="K134" s="319"/>
    </row>
    <row r="135" spans="2:16" s="251" customFormat="1" ht="18.75" x14ac:dyDescent="0.3">
      <c r="I135" s="308" t="s">
        <v>134</v>
      </c>
      <c r="J135" s="319" t="s">
        <v>208</v>
      </c>
      <c r="K135" s="327"/>
    </row>
    <row r="136" spans="2:16" s="251" customFormat="1" ht="18.75" x14ac:dyDescent="0.3">
      <c r="B136" s="251" t="s">
        <v>210</v>
      </c>
      <c r="C136" s="308"/>
      <c r="D136" s="496" t="s">
        <v>521</v>
      </c>
      <c r="E136" s="496"/>
      <c r="F136" s="308"/>
      <c r="H136" s="317"/>
      <c r="K136" s="319"/>
    </row>
    <row r="137" spans="2:16" s="251" customFormat="1" ht="18.75" x14ac:dyDescent="0.3">
      <c r="C137" s="308"/>
      <c r="D137" s="497" t="s">
        <v>522</v>
      </c>
      <c r="E137" s="483"/>
      <c r="F137" s="308"/>
      <c r="H137" s="317"/>
      <c r="K137" s="319"/>
    </row>
    <row r="138" spans="2:16" s="251" customFormat="1" ht="18.75" x14ac:dyDescent="0.3">
      <c r="I138" s="308"/>
      <c r="J138" s="319"/>
      <c r="K138" s="327"/>
    </row>
    <row r="139" spans="2:16" s="251" customFormat="1" ht="18.75" x14ac:dyDescent="0.3">
      <c r="B139" s="251" t="s">
        <v>210</v>
      </c>
      <c r="C139" s="308" t="s">
        <v>134</v>
      </c>
      <c r="D139" s="287">
        <f>K106</f>
        <v>220.34999999999997</v>
      </c>
      <c r="E139" s="312" t="s">
        <v>171</v>
      </c>
      <c r="F139" s="284">
        <v>100000</v>
      </c>
      <c r="I139" s="308" t="s">
        <v>134</v>
      </c>
      <c r="K139" s="326">
        <f>D139*F139/D140</f>
        <v>10683.636363636362</v>
      </c>
      <c r="L139" s="251" t="s">
        <v>211</v>
      </c>
    </row>
    <row r="140" spans="2:16" s="251" customFormat="1" ht="18.75" x14ac:dyDescent="0.3">
      <c r="D140" s="482">
        <f>J123</f>
        <v>2062.5</v>
      </c>
      <c r="E140" s="483"/>
      <c r="F140" s="483"/>
      <c r="K140" s="319"/>
    </row>
    <row r="141" spans="2:16" s="251" customFormat="1" ht="18.75" x14ac:dyDescent="0.3">
      <c r="I141" s="308" t="s">
        <v>207</v>
      </c>
      <c r="J141" s="486">
        <f>H115</f>
        <v>10705.395</v>
      </c>
      <c r="K141" s="486"/>
      <c r="L141" s="251" t="s">
        <v>211</v>
      </c>
    </row>
    <row r="142" spans="2:16" s="251" customFormat="1" ht="18.75" x14ac:dyDescent="0.3">
      <c r="I142" s="261"/>
      <c r="K142" s="319"/>
    </row>
    <row r="143" spans="2:16" s="251" customFormat="1" ht="18.75" x14ac:dyDescent="0.3">
      <c r="I143" s="308" t="s">
        <v>134</v>
      </c>
      <c r="J143" s="319" t="s">
        <v>208</v>
      </c>
      <c r="K143" s="327"/>
    </row>
    <row r="144" spans="2:16" s="251" customFormat="1" ht="18.75" x14ac:dyDescent="0.3">
      <c r="I144" s="261"/>
      <c r="K144" s="330"/>
    </row>
    <row r="145" spans="2:12" s="251" customFormat="1" ht="32.25" customHeight="1" x14ac:dyDescent="0.3">
      <c r="B145" s="267" t="s">
        <v>212</v>
      </c>
      <c r="I145" s="261"/>
      <c r="K145" s="319"/>
    </row>
    <row r="146" spans="2:12" s="251" customFormat="1" ht="29.25" customHeight="1" x14ac:dyDescent="0.3">
      <c r="B146" s="254" t="s">
        <v>156</v>
      </c>
      <c r="C146" s="308" t="s">
        <v>134</v>
      </c>
      <c r="D146" s="331">
        <f>D73</f>
        <v>847.85500000000002</v>
      </c>
      <c r="E146" s="253" t="s">
        <v>139</v>
      </c>
      <c r="I146" s="308"/>
      <c r="K146" s="327"/>
    </row>
    <row r="147" spans="2:12" s="251" customFormat="1" ht="29.25" customHeight="1" x14ac:dyDescent="0.3">
      <c r="B147" s="254" t="s">
        <v>213</v>
      </c>
      <c r="C147" s="308" t="s">
        <v>134</v>
      </c>
      <c r="D147" s="331">
        <f>B41</f>
        <v>4</v>
      </c>
      <c r="E147" s="253"/>
    </row>
    <row r="148" spans="2:12" s="251" customFormat="1" ht="14.25" customHeight="1" x14ac:dyDescent="0.3">
      <c r="B148" s="254" t="s">
        <v>214</v>
      </c>
      <c r="C148" s="308" t="s">
        <v>134</v>
      </c>
      <c r="D148" s="255" t="s">
        <v>215</v>
      </c>
      <c r="E148" s="255"/>
      <c r="F148" s="255" t="s">
        <v>216</v>
      </c>
    </row>
    <row r="149" spans="2:12" s="251" customFormat="1" ht="14.25" customHeight="1" x14ac:dyDescent="0.3">
      <c r="B149" s="254"/>
      <c r="C149" s="308"/>
      <c r="D149" s="282">
        <f>'Main Beam'!E19</f>
        <v>300</v>
      </c>
      <c r="E149" s="255"/>
      <c r="F149" s="282">
        <f>'Cross Beam'!J6</f>
        <v>150</v>
      </c>
    </row>
    <row r="150" spans="2:12" s="251" customFormat="1" ht="33.75" customHeight="1" x14ac:dyDescent="0.3">
      <c r="B150" s="291" t="s">
        <v>217</v>
      </c>
      <c r="C150" s="308" t="s">
        <v>134</v>
      </c>
      <c r="D150" s="253">
        <f>B43</f>
        <v>30</v>
      </c>
      <c r="E150" s="332" t="s">
        <v>164</v>
      </c>
      <c r="F150" s="286"/>
    </row>
    <row r="151" spans="2:12" s="251" customFormat="1" ht="29.25" customHeight="1" x14ac:dyDescent="0.3">
      <c r="B151" s="253" t="s">
        <v>218</v>
      </c>
      <c r="C151" s="308" t="s">
        <v>134</v>
      </c>
      <c r="D151" s="253">
        <f>G78*1000</f>
        <v>12000</v>
      </c>
      <c r="E151" s="333" t="s">
        <v>192</v>
      </c>
      <c r="F151" s="334">
        <f>F149</f>
        <v>150</v>
      </c>
      <c r="G151" s="308" t="s">
        <v>196</v>
      </c>
      <c r="H151" s="335">
        <f>D150-1</f>
        <v>29</v>
      </c>
      <c r="I151" s="308" t="s">
        <v>134</v>
      </c>
      <c r="J151" s="332">
        <f>(D151-F151)/H151</f>
        <v>408.62068965517244</v>
      </c>
      <c r="K151" s="336" t="s">
        <v>202</v>
      </c>
      <c r="L151" s="254" t="s">
        <v>219</v>
      </c>
    </row>
    <row r="152" spans="2:12" s="251" customFormat="1" ht="29.25" customHeight="1" x14ac:dyDescent="0.3">
      <c r="C152" s="286"/>
      <c r="E152" s="337"/>
      <c r="F152" s="286"/>
      <c r="G152" s="286"/>
      <c r="H152" s="338" t="s">
        <v>220</v>
      </c>
      <c r="I152" s="255" t="s">
        <v>134</v>
      </c>
      <c r="J152" s="292">
        <f>ROUND(J151,0)</f>
        <v>409</v>
      </c>
      <c r="K152" s="284" t="s">
        <v>202</v>
      </c>
    </row>
    <row r="153" spans="2:12" s="251" customFormat="1" ht="27" customHeight="1" x14ac:dyDescent="0.3">
      <c r="B153" s="254"/>
      <c r="C153" s="286"/>
      <c r="E153" s="337"/>
      <c r="F153" s="286"/>
      <c r="G153" s="286"/>
      <c r="H153" s="339"/>
      <c r="I153" s="308"/>
      <c r="J153" s="261"/>
      <c r="K153" s="261"/>
    </row>
    <row r="154" spans="2:12" s="251" customFormat="1" ht="27" customHeight="1" x14ac:dyDescent="0.3">
      <c r="B154" s="253" t="str">
        <f>'Annexure A'!D51</f>
        <v>ISMB 450</v>
      </c>
      <c r="K154" s="319"/>
    </row>
    <row r="155" spans="2:12" s="251" customFormat="1" ht="27" customHeight="1" x14ac:dyDescent="0.3">
      <c r="B155" s="253" t="s">
        <v>198</v>
      </c>
      <c r="C155" s="308" t="s">
        <v>134</v>
      </c>
      <c r="D155" s="253">
        <f>H155*10000</f>
        <v>304000000</v>
      </c>
      <c r="E155" s="253" t="s">
        <v>199</v>
      </c>
      <c r="F155" s="308" t="s">
        <v>134</v>
      </c>
      <c r="G155" s="253"/>
      <c r="H155" s="340">
        <f>'Cross Beam'!D20</f>
        <v>30400</v>
      </c>
      <c r="I155" s="253" t="s">
        <v>200</v>
      </c>
      <c r="K155" s="319"/>
    </row>
    <row r="156" spans="2:12" s="251" customFormat="1" ht="27" customHeight="1" x14ac:dyDescent="0.3">
      <c r="B156" s="253" t="s">
        <v>223</v>
      </c>
      <c r="C156" s="308" t="s">
        <v>134</v>
      </c>
      <c r="D156" s="253">
        <f>H156*1000</f>
        <v>1350700</v>
      </c>
      <c r="E156" s="253" t="s">
        <v>202</v>
      </c>
      <c r="F156" s="308" t="s">
        <v>134</v>
      </c>
      <c r="G156" s="253"/>
      <c r="H156" s="281">
        <f>'Cross Beam'!D24</f>
        <v>1350.7</v>
      </c>
      <c r="I156" s="253" t="s">
        <v>203</v>
      </c>
      <c r="K156" s="319"/>
    </row>
    <row r="157" spans="2:12" s="251" customFormat="1" ht="27" customHeight="1" x14ac:dyDescent="0.3">
      <c r="B157" s="253" t="s">
        <v>201</v>
      </c>
      <c r="C157" s="308" t="s">
        <v>134</v>
      </c>
      <c r="D157" s="253">
        <f>H157*10</f>
        <v>225</v>
      </c>
      <c r="E157" s="253" t="s">
        <v>202</v>
      </c>
      <c r="F157" s="308" t="s">
        <v>134</v>
      </c>
      <c r="G157" s="253"/>
      <c r="H157" s="281">
        <f>'Cross Beam'!J5/2/10</f>
        <v>22.5</v>
      </c>
      <c r="I157" s="253" t="s">
        <v>203</v>
      </c>
      <c r="K157" s="319"/>
    </row>
    <row r="158" spans="2:12" s="251" customFormat="1" ht="27" customHeight="1" x14ac:dyDescent="0.3">
      <c r="B158" s="253" t="s">
        <v>204</v>
      </c>
      <c r="C158" s="308" t="s">
        <v>134</v>
      </c>
      <c r="D158" s="253">
        <f>H158*10</f>
        <v>379.20000000000005</v>
      </c>
      <c r="E158" s="253" t="s">
        <v>202</v>
      </c>
      <c r="F158" s="308" t="s">
        <v>134</v>
      </c>
      <c r="G158" s="253"/>
      <c r="H158" s="281">
        <f>'Cross Beam'!D25</f>
        <v>37.92</v>
      </c>
      <c r="I158" s="253" t="s">
        <v>203</v>
      </c>
      <c r="K158" s="319"/>
    </row>
    <row r="159" spans="2:12" s="251" customFormat="1" ht="27" customHeight="1" x14ac:dyDescent="0.3">
      <c r="B159" s="253" t="s">
        <v>224</v>
      </c>
      <c r="C159" s="341"/>
      <c r="D159" s="253">
        <f>H159*10</f>
        <v>9.4</v>
      </c>
      <c r="E159" s="253" t="s">
        <v>202</v>
      </c>
      <c r="F159" s="308" t="s">
        <v>134</v>
      </c>
      <c r="G159" s="341"/>
      <c r="H159" s="281">
        <f>'Cross Beam'!D23</f>
        <v>0.94000000000000006</v>
      </c>
      <c r="I159" s="253" t="s">
        <v>203</v>
      </c>
      <c r="J159" s="261"/>
      <c r="K159" s="261"/>
    </row>
    <row r="160" spans="2:12" s="251" customFormat="1" ht="18" customHeight="1" x14ac:dyDescent="0.3">
      <c r="B160" s="253" t="s">
        <v>210</v>
      </c>
      <c r="C160" s="308" t="s">
        <v>134</v>
      </c>
      <c r="D160" s="251">
        <f>H160*10</f>
        <v>13507</v>
      </c>
      <c r="E160" s="253" t="s">
        <v>225</v>
      </c>
      <c r="F160" s="308"/>
      <c r="G160" s="286"/>
      <c r="H160" s="281">
        <f>H156</f>
        <v>1350.7</v>
      </c>
      <c r="I160" s="253" t="s">
        <v>211</v>
      </c>
      <c r="J160" s="261"/>
      <c r="K160" s="261"/>
    </row>
    <row r="161" spans="2:13" s="251" customFormat="1" ht="18" customHeight="1" x14ac:dyDescent="0.3">
      <c r="C161" s="286"/>
      <c r="F161" s="308"/>
      <c r="G161" s="286"/>
      <c r="H161" s="342"/>
      <c r="J161" s="261"/>
      <c r="K161" s="261"/>
    </row>
    <row r="162" spans="2:13" s="251" customFormat="1" ht="18.75" x14ac:dyDescent="0.3">
      <c r="C162" s="286"/>
      <c r="G162" s="332">
        <f>D43</f>
        <v>12</v>
      </c>
    </row>
    <row r="163" spans="2:13" s="251" customFormat="1" ht="23.25" customHeight="1" x14ac:dyDescent="0.3">
      <c r="C163" s="286"/>
      <c r="E163" s="295">
        <f>(G162/2)-D166-(G163/2)</f>
        <v>5.05</v>
      </c>
      <c r="G163" s="501">
        <f>D149*(D147-1)/1000</f>
        <v>0.9</v>
      </c>
      <c r="I163" s="295">
        <f>(G162/2)-J166-(G163/2)</f>
        <v>5.05</v>
      </c>
      <c r="M163" s="287"/>
    </row>
    <row r="164" spans="2:13" s="251" customFormat="1" ht="24" customHeight="1" thickBot="1" x14ac:dyDescent="0.35">
      <c r="C164" s="286"/>
      <c r="D164" s="301"/>
      <c r="E164" s="301"/>
      <c r="F164" s="301"/>
      <c r="G164" s="502"/>
      <c r="H164" s="301"/>
      <c r="I164" s="301"/>
      <c r="J164" s="301"/>
      <c r="K164" s="287">
        <f>I174</f>
        <v>3.0829482708333336</v>
      </c>
      <c r="L164" s="251" t="s">
        <v>180</v>
      </c>
    </row>
    <row r="165" spans="2:13" s="251" customFormat="1" ht="19.5" thickTop="1" x14ac:dyDescent="0.3">
      <c r="C165" s="286"/>
    </row>
    <row r="166" spans="2:13" s="251" customFormat="1" ht="18.75" x14ac:dyDescent="0.3">
      <c r="C166" s="286"/>
      <c r="D166" s="343">
        <v>0.5</v>
      </c>
      <c r="J166" s="272">
        <f>D166</f>
        <v>0.5</v>
      </c>
    </row>
    <row r="167" spans="2:13" s="251" customFormat="1" ht="18.75" x14ac:dyDescent="0.3">
      <c r="C167" s="286"/>
    </row>
    <row r="168" spans="2:13" s="251" customFormat="1" ht="18.75" x14ac:dyDescent="0.3">
      <c r="C168" s="286"/>
      <c r="D168" s="261"/>
      <c r="J168" s="261"/>
    </row>
    <row r="169" spans="2:13" s="251" customFormat="1" ht="18.75" x14ac:dyDescent="0.3">
      <c r="D169" s="287">
        <f>(D87-D88-I41)/2</f>
        <v>118.79200000000004</v>
      </c>
      <c r="J169" s="287">
        <f>D169</f>
        <v>118.79200000000004</v>
      </c>
    </row>
    <row r="170" spans="2:13" s="251" customFormat="1" ht="18.75" x14ac:dyDescent="0.3">
      <c r="D170" s="287"/>
      <c r="J170" s="287"/>
    </row>
    <row r="171" spans="2:13" s="251" customFormat="1" ht="18.75" x14ac:dyDescent="0.3">
      <c r="B171" s="251" t="s">
        <v>226</v>
      </c>
      <c r="C171" s="251" t="s">
        <v>134</v>
      </c>
      <c r="D171" s="287">
        <f>D169</f>
        <v>118.79200000000004</v>
      </c>
      <c r="E171" s="308" t="s">
        <v>196</v>
      </c>
      <c r="F171" s="284">
        <f>D150</f>
        <v>30</v>
      </c>
      <c r="J171" s="287"/>
    </row>
    <row r="172" spans="2:13" s="251" customFormat="1" ht="18.75" x14ac:dyDescent="0.3">
      <c r="C172" s="251" t="s">
        <v>134</v>
      </c>
      <c r="D172" s="327">
        <f>D171/F171</f>
        <v>3.9597333333333347</v>
      </c>
      <c r="E172" s="308" t="s">
        <v>227</v>
      </c>
      <c r="F172" s="284"/>
      <c r="J172" s="287"/>
    </row>
    <row r="173" spans="2:13" s="251" customFormat="1" ht="12.6" customHeight="1" x14ac:dyDescent="0.3">
      <c r="C173" s="286"/>
      <c r="F173" s="308"/>
      <c r="G173" s="286"/>
      <c r="H173" s="342"/>
      <c r="J173" s="261"/>
      <c r="K173" s="261"/>
      <c r="M173" s="287"/>
    </row>
    <row r="174" spans="2:13" s="251" customFormat="1" ht="17.25" customHeight="1" x14ac:dyDescent="0.3">
      <c r="B174" s="479" t="s">
        <v>186</v>
      </c>
      <c r="C174" s="478" t="s">
        <v>134</v>
      </c>
      <c r="D174" s="311">
        <f>(I67-I41)</f>
        <v>1085.4390000000001</v>
      </c>
      <c r="E174" s="479" t="s">
        <v>187</v>
      </c>
      <c r="F174" s="479">
        <f>J152/1000</f>
        <v>0.40899999999999997</v>
      </c>
      <c r="G174" s="479"/>
      <c r="H174" s="478" t="s">
        <v>134</v>
      </c>
      <c r="I174" s="525">
        <f>(D174/(12*12))*F174</f>
        <v>3.0829482708333336</v>
      </c>
      <c r="J174" s="490" t="s">
        <v>228</v>
      </c>
      <c r="K174" s="490"/>
    </row>
    <row r="175" spans="2:13" s="251" customFormat="1" ht="17.25" customHeight="1" x14ac:dyDescent="0.3">
      <c r="B175" s="479"/>
      <c r="C175" s="478"/>
      <c r="D175" s="255" t="s">
        <v>190</v>
      </c>
      <c r="E175" s="479"/>
      <c r="F175" s="479"/>
      <c r="G175" s="479"/>
      <c r="H175" s="479"/>
      <c r="I175" s="525"/>
      <c r="J175" s="490"/>
      <c r="K175" s="490"/>
    </row>
    <row r="176" spans="2:13" s="251" customFormat="1" ht="17.25" customHeight="1" x14ac:dyDescent="0.3">
      <c r="H176" s="255"/>
      <c r="I176" s="319"/>
    </row>
    <row r="177" spans="2:11" s="251" customFormat="1" ht="17.25" customHeight="1" x14ac:dyDescent="0.3">
      <c r="B177" s="479" t="s">
        <v>229</v>
      </c>
      <c r="C177" s="478" t="s">
        <v>134</v>
      </c>
      <c r="D177" s="313">
        <f>I174</f>
        <v>3.0829482708333336</v>
      </c>
      <c r="E177" s="314" t="s">
        <v>171</v>
      </c>
      <c r="F177" s="315" t="str">
        <f>CONCATENATE(E163," x ",I163)</f>
        <v>5.05 x 5.05</v>
      </c>
      <c r="G177" s="341"/>
      <c r="H177" s="308" t="s">
        <v>134</v>
      </c>
      <c r="I177" s="257">
        <f>(D177*(E163*I163))/4</f>
        <v>19.655722069231771</v>
      </c>
      <c r="J177" s="316" t="s">
        <v>139</v>
      </c>
    </row>
    <row r="178" spans="2:11" s="251" customFormat="1" ht="17.25" customHeight="1" x14ac:dyDescent="0.3">
      <c r="B178" s="479"/>
      <c r="C178" s="479"/>
      <c r="D178" s="491">
        <v>4</v>
      </c>
      <c r="E178" s="491"/>
      <c r="F178" s="491"/>
      <c r="H178" s="255"/>
      <c r="I178" s="253"/>
      <c r="J178" s="253"/>
      <c r="K178" s="336"/>
    </row>
    <row r="179" spans="2:11" s="251" customFormat="1" ht="17.25" customHeight="1" x14ac:dyDescent="0.3">
      <c r="B179" s="255"/>
      <c r="C179" s="255"/>
      <c r="D179" s="261"/>
      <c r="E179" s="261"/>
      <c r="F179" s="261"/>
      <c r="H179" s="255"/>
      <c r="I179" s="253"/>
      <c r="J179" s="253"/>
      <c r="K179" s="253"/>
    </row>
    <row r="180" spans="2:11" s="251" customFormat="1" ht="17.25" customHeight="1" x14ac:dyDescent="0.3">
      <c r="B180" s="255" t="s">
        <v>230</v>
      </c>
      <c r="C180" s="308" t="s">
        <v>134</v>
      </c>
      <c r="D180" s="524" t="str">
        <f>CONCATENATE("(",ROUND(I174,3)," x ",I163,")"," - ",ROUND(D172,3))</f>
        <v>(3.083 x 5.05) - 3.96</v>
      </c>
      <c r="E180" s="524"/>
      <c r="F180" s="524"/>
      <c r="H180" s="308" t="s">
        <v>134</v>
      </c>
      <c r="I180" s="344">
        <f>ROUND(I174*I163-D172,3)</f>
        <v>11.609</v>
      </c>
      <c r="J180" s="253" t="s">
        <v>139</v>
      </c>
      <c r="K180" s="253"/>
    </row>
    <row r="181" spans="2:11" s="251" customFormat="1" ht="17.25" customHeight="1" x14ac:dyDescent="0.3">
      <c r="B181" s="255"/>
      <c r="C181" s="308"/>
      <c r="D181" s="261"/>
      <c r="E181" s="261"/>
      <c r="F181" s="261"/>
      <c r="H181" s="308"/>
      <c r="I181" s="253"/>
      <c r="J181" s="253"/>
      <c r="K181" s="253"/>
    </row>
    <row r="182" spans="2:11" s="251" customFormat="1" ht="17.25" customHeight="1" x14ac:dyDescent="0.3">
      <c r="B182" s="479" t="s">
        <v>554</v>
      </c>
      <c r="C182" s="478" t="s">
        <v>134</v>
      </c>
      <c r="D182" s="313">
        <f>I177</f>
        <v>19.655722069231771</v>
      </c>
      <c r="E182" s="314" t="s">
        <v>171</v>
      </c>
      <c r="F182" s="315" t="s">
        <v>555</v>
      </c>
      <c r="G182" s="341"/>
      <c r="H182" s="308" t="s">
        <v>134</v>
      </c>
      <c r="I182" s="257">
        <f>(D182*(10*10*10*10*10))/D183</f>
        <v>1455.2248515015749</v>
      </c>
      <c r="J182" s="316" t="s">
        <v>139</v>
      </c>
    </row>
    <row r="183" spans="2:11" s="251" customFormat="1" ht="17.25" customHeight="1" x14ac:dyDescent="0.3">
      <c r="B183" s="479"/>
      <c r="C183" s="479"/>
      <c r="D183" s="491">
        <f>H156</f>
        <v>1350.7</v>
      </c>
      <c r="E183" s="491"/>
      <c r="F183" s="491"/>
      <c r="H183" s="253"/>
      <c r="I183" s="253"/>
      <c r="J183" s="253"/>
      <c r="K183" s="253"/>
    </row>
    <row r="184" spans="2:11" s="251" customFormat="1" ht="17.25" customHeight="1" x14ac:dyDescent="0.3">
      <c r="B184" s="255"/>
      <c r="C184" s="308"/>
      <c r="D184" s="261"/>
      <c r="E184" s="261"/>
      <c r="F184" s="261"/>
      <c r="H184" s="255" t="s">
        <v>134</v>
      </c>
      <c r="I184" s="253" t="s">
        <v>556</v>
      </c>
      <c r="J184" s="253"/>
      <c r="K184" s="253"/>
    </row>
    <row r="185" spans="2:11" s="251" customFormat="1" ht="17.25" customHeight="1" x14ac:dyDescent="0.3">
      <c r="B185" s="255"/>
      <c r="C185" s="308"/>
      <c r="D185" s="261"/>
      <c r="E185" s="261"/>
      <c r="F185" s="261"/>
      <c r="H185" s="308"/>
      <c r="I185" s="253"/>
      <c r="J185" s="253"/>
      <c r="K185" s="253"/>
    </row>
    <row r="186" spans="2:11" s="251" customFormat="1" ht="17.25" customHeight="1" x14ac:dyDescent="0.3">
      <c r="B186" s="255"/>
      <c r="C186" s="308"/>
      <c r="D186" s="261"/>
      <c r="E186" s="261"/>
      <c r="F186" s="261"/>
      <c r="H186" s="255" t="s">
        <v>134</v>
      </c>
      <c r="I186" s="255">
        <f>1650*1.25</f>
        <v>2062.5</v>
      </c>
      <c r="J186" s="251" t="s">
        <v>206</v>
      </c>
      <c r="K186" s="253"/>
    </row>
    <row r="187" spans="2:11" s="251" customFormat="1" ht="17.25" customHeight="1" x14ac:dyDescent="0.3">
      <c r="B187" s="255"/>
      <c r="C187" s="308"/>
      <c r="D187" s="261"/>
      <c r="E187" s="261"/>
      <c r="F187" s="261"/>
      <c r="H187" s="255" t="s">
        <v>134</v>
      </c>
      <c r="I187" s="319" t="s">
        <v>208</v>
      </c>
      <c r="J187" s="253"/>
      <c r="K187" s="345"/>
    </row>
    <row r="188" spans="2:11" s="251" customFormat="1" ht="17.25" customHeight="1" x14ac:dyDescent="0.3">
      <c r="B188" s="255"/>
      <c r="C188" s="308"/>
      <c r="D188" s="261"/>
      <c r="E188" s="261"/>
      <c r="F188" s="261"/>
      <c r="H188" s="341"/>
      <c r="I188" s="253"/>
      <c r="J188" s="253"/>
      <c r="K188" s="253"/>
    </row>
    <row r="189" spans="2:11" s="251" customFormat="1" ht="17.25" customHeight="1" x14ac:dyDescent="0.3">
      <c r="B189" s="255" t="s">
        <v>523</v>
      </c>
      <c r="C189" s="308" t="s">
        <v>134</v>
      </c>
      <c r="D189" s="255">
        <f>I180</f>
        <v>11.609</v>
      </c>
      <c r="E189" s="255" t="s">
        <v>171</v>
      </c>
      <c r="F189" s="255">
        <v>1000</v>
      </c>
      <c r="H189" s="308" t="s">
        <v>134</v>
      </c>
      <c r="I189" s="327">
        <f>D189*F189/D190/F190</f>
        <v>325.6856540084388</v>
      </c>
    </row>
    <row r="190" spans="2:11" s="251" customFormat="1" ht="17.25" customHeight="1" x14ac:dyDescent="0.3">
      <c r="D190" s="346">
        <f>H158</f>
        <v>37.92</v>
      </c>
      <c r="E190" s="255" t="s">
        <v>171</v>
      </c>
      <c r="F190" s="347">
        <f>H159</f>
        <v>0.94000000000000006</v>
      </c>
      <c r="K190" s="319"/>
    </row>
    <row r="191" spans="2:11" s="251" customFormat="1" ht="17.25" customHeight="1" x14ac:dyDescent="0.3">
      <c r="B191" s="255"/>
      <c r="C191" s="308"/>
      <c r="D191" s="261"/>
      <c r="E191" s="261"/>
      <c r="F191" s="261"/>
      <c r="H191" s="255" t="s">
        <v>134</v>
      </c>
      <c r="I191" s="253" t="s">
        <v>557</v>
      </c>
      <c r="J191" s="253"/>
      <c r="K191" s="253"/>
    </row>
    <row r="192" spans="2:11" s="251" customFormat="1" ht="17.25" customHeight="1" x14ac:dyDescent="0.3">
      <c r="B192" s="255"/>
      <c r="C192" s="308"/>
      <c r="D192" s="261"/>
      <c r="E192" s="261"/>
      <c r="F192" s="261"/>
      <c r="H192" s="308"/>
      <c r="I192" s="253"/>
      <c r="J192" s="253"/>
      <c r="K192" s="253"/>
    </row>
    <row r="193" spans="2:12" s="251" customFormat="1" ht="17.25" customHeight="1" x14ac:dyDescent="0.3">
      <c r="B193" s="255"/>
      <c r="C193" s="308"/>
      <c r="D193" s="261"/>
      <c r="E193" s="261"/>
      <c r="F193" s="261"/>
      <c r="H193" s="255" t="s">
        <v>134</v>
      </c>
      <c r="I193" s="255">
        <f>1000*1.25</f>
        <v>1250</v>
      </c>
      <c r="J193" s="251" t="s">
        <v>206</v>
      </c>
      <c r="K193" s="253"/>
    </row>
    <row r="194" spans="2:12" s="251" customFormat="1" ht="17.25" customHeight="1" x14ac:dyDescent="0.3">
      <c r="B194" s="255"/>
      <c r="C194" s="308"/>
      <c r="D194" s="261"/>
      <c r="E194" s="261"/>
      <c r="F194" s="261"/>
      <c r="H194" s="255" t="s">
        <v>134</v>
      </c>
      <c r="I194" s="319" t="s">
        <v>208</v>
      </c>
      <c r="J194" s="253"/>
      <c r="K194" s="345"/>
    </row>
    <row r="195" spans="2:12" s="251" customFormat="1" ht="13.5" customHeight="1" x14ac:dyDescent="0.3">
      <c r="B195" s="255"/>
      <c r="C195" s="308"/>
      <c r="D195" s="261"/>
      <c r="E195" s="261"/>
      <c r="F195" s="261"/>
      <c r="H195" s="341"/>
      <c r="I195" s="253"/>
      <c r="J195" s="253"/>
      <c r="K195" s="253"/>
    </row>
    <row r="196" spans="2:12" s="251" customFormat="1" ht="18.75" x14ac:dyDescent="0.3">
      <c r="I196" s="308"/>
      <c r="J196" s="319"/>
      <c r="K196" s="327"/>
    </row>
    <row r="197" spans="2:12" s="251" customFormat="1" ht="18.75" x14ac:dyDescent="0.3">
      <c r="B197" s="251" t="s">
        <v>524</v>
      </c>
      <c r="C197" s="308" t="s">
        <v>134</v>
      </c>
      <c r="D197" s="287">
        <f>I177</f>
        <v>19.655722069231771</v>
      </c>
      <c r="E197" s="312" t="s">
        <v>171</v>
      </c>
      <c r="F197" s="284">
        <v>100000</v>
      </c>
      <c r="I197" s="308" t="s">
        <v>134</v>
      </c>
      <c r="K197" s="326">
        <f>D197*F197/D198</f>
        <v>953.00470638699505</v>
      </c>
      <c r="L197" s="251" t="s">
        <v>211</v>
      </c>
    </row>
    <row r="198" spans="2:12" s="251" customFormat="1" ht="18.75" x14ac:dyDescent="0.3">
      <c r="D198" s="482">
        <f>I186</f>
        <v>2062.5</v>
      </c>
      <c r="E198" s="483"/>
      <c r="F198" s="483"/>
      <c r="K198" s="319"/>
    </row>
    <row r="199" spans="2:12" s="251" customFormat="1" ht="18.75" x14ac:dyDescent="0.3">
      <c r="I199" s="308" t="s">
        <v>207</v>
      </c>
      <c r="J199" s="486">
        <f>H160</f>
        <v>1350.7</v>
      </c>
      <c r="K199" s="486"/>
      <c r="L199" s="251" t="s">
        <v>211</v>
      </c>
    </row>
    <row r="200" spans="2:12" s="251" customFormat="1" ht="18.75" x14ac:dyDescent="0.3">
      <c r="I200" s="261"/>
      <c r="K200" s="319"/>
    </row>
    <row r="201" spans="2:12" s="251" customFormat="1" ht="18.75" x14ac:dyDescent="0.3">
      <c r="I201" s="308" t="s">
        <v>134</v>
      </c>
      <c r="J201" s="319" t="s">
        <v>208</v>
      </c>
      <c r="K201" s="327"/>
    </row>
    <row r="202" spans="2:12" s="251" customFormat="1" ht="13.5" customHeight="1" x14ac:dyDescent="0.3">
      <c r="B202" s="255"/>
      <c r="C202" s="308"/>
      <c r="D202" s="261"/>
      <c r="E202" s="261"/>
      <c r="F202" s="261"/>
      <c r="H202" s="341"/>
      <c r="I202" s="253"/>
      <c r="J202" s="253"/>
      <c r="K202" s="253"/>
    </row>
    <row r="203" spans="2:12" s="251" customFormat="1" ht="32.25" customHeight="1" x14ac:dyDescent="0.3">
      <c r="B203" s="267" t="s">
        <v>232</v>
      </c>
      <c r="I203" s="261"/>
      <c r="K203" s="319"/>
    </row>
    <row r="204" spans="2:12" s="251" customFormat="1" ht="29.25" customHeight="1" x14ac:dyDescent="0.3">
      <c r="B204" s="254" t="s">
        <v>157</v>
      </c>
      <c r="C204" s="308" t="s">
        <v>134</v>
      </c>
      <c r="D204" s="271">
        <f>D69</f>
        <v>1108.1076720000001</v>
      </c>
      <c r="E204" s="253" t="s">
        <v>139</v>
      </c>
      <c r="I204" s="308"/>
      <c r="K204" s="327"/>
    </row>
    <row r="205" spans="2:12" s="251" customFormat="1" ht="29.25" hidden="1" customHeight="1" x14ac:dyDescent="0.3">
      <c r="B205" s="254" t="s">
        <v>156</v>
      </c>
      <c r="C205" s="308" t="s">
        <v>134</v>
      </c>
      <c r="D205" s="271">
        <v>0</v>
      </c>
      <c r="E205" s="253" t="s">
        <v>139</v>
      </c>
      <c r="I205" s="308"/>
      <c r="K205" s="327"/>
    </row>
    <row r="206" spans="2:12" s="251" customFormat="1" ht="29.25" customHeight="1" x14ac:dyDescent="0.3">
      <c r="B206" s="254" t="s">
        <v>213</v>
      </c>
      <c r="C206" s="308" t="s">
        <v>134</v>
      </c>
      <c r="D206" s="331">
        <f>B41</f>
        <v>4</v>
      </c>
      <c r="E206" s="253"/>
      <c r="G206" s="253" t="s">
        <v>233</v>
      </c>
      <c r="H206" s="253"/>
      <c r="I206" s="254">
        <f>D75</f>
        <v>0.375</v>
      </c>
    </row>
    <row r="207" spans="2:12" s="251" customFormat="1" ht="29.25" hidden="1" customHeight="1" x14ac:dyDescent="0.3">
      <c r="B207" s="254" t="s">
        <v>214</v>
      </c>
      <c r="C207" s="308" t="s">
        <v>134</v>
      </c>
      <c r="D207" s="331">
        <v>400</v>
      </c>
      <c r="E207" s="253"/>
    </row>
    <row r="208" spans="2:12" s="251" customFormat="1" ht="33.75" hidden="1" customHeight="1" x14ac:dyDescent="0.3">
      <c r="B208" s="291" t="s">
        <v>217</v>
      </c>
      <c r="C208" s="308" t="s">
        <v>134</v>
      </c>
      <c r="D208" s="253">
        <v>25</v>
      </c>
      <c r="E208" s="332" t="s">
        <v>164</v>
      </c>
      <c r="F208" s="286"/>
    </row>
    <row r="209" spans="2:16" s="251" customFormat="1" ht="29.25" hidden="1" customHeight="1" x14ac:dyDescent="0.3">
      <c r="B209" s="253" t="s">
        <v>218</v>
      </c>
      <c r="C209" s="308" t="s">
        <v>134</v>
      </c>
      <c r="D209" s="253">
        <v>12000</v>
      </c>
      <c r="E209" s="333" t="s">
        <v>192</v>
      </c>
      <c r="F209" s="341">
        <v>400</v>
      </c>
      <c r="G209" s="334">
        <v>24</v>
      </c>
      <c r="H209" s="348"/>
      <c r="I209" s="308" t="s">
        <v>134</v>
      </c>
      <c r="J209" s="332">
        <f>(D209-F209)/24</f>
        <v>483.33333333333331</v>
      </c>
      <c r="K209" s="336" t="s">
        <v>202</v>
      </c>
    </row>
    <row r="210" spans="2:16" s="251" customFormat="1" ht="29.25" hidden="1" customHeight="1" x14ac:dyDescent="0.3">
      <c r="C210" s="286"/>
      <c r="E210" s="337"/>
      <c r="F210" s="286"/>
      <c r="G210" s="286"/>
      <c r="H210" s="338" t="s">
        <v>220</v>
      </c>
      <c r="I210" s="255" t="s">
        <v>134</v>
      </c>
      <c r="J210" s="261">
        <v>483</v>
      </c>
      <c r="K210" s="284" t="s">
        <v>202</v>
      </c>
    </row>
    <row r="211" spans="2:16" s="251" customFormat="1" ht="27" hidden="1" customHeight="1" x14ac:dyDescent="0.3">
      <c r="B211" s="254" t="s">
        <v>221</v>
      </c>
      <c r="C211" s="286"/>
      <c r="E211" s="337"/>
      <c r="F211" s="286"/>
      <c r="G211" s="286"/>
      <c r="H211" s="339"/>
      <c r="I211" s="308"/>
      <c r="J211" s="261"/>
      <c r="K211" s="261"/>
    </row>
    <row r="212" spans="2:16" s="251" customFormat="1" ht="27" hidden="1" customHeight="1" x14ac:dyDescent="0.3">
      <c r="B212" s="253" t="s">
        <v>222</v>
      </c>
      <c r="K212" s="319"/>
    </row>
    <row r="213" spans="2:16" s="251" customFormat="1" ht="27" hidden="1" customHeight="1" x14ac:dyDescent="0.3">
      <c r="B213" s="253" t="s">
        <v>198</v>
      </c>
      <c r="C213" s="308" t="s">
        <v>134</v>
      </c>
      <c r="D213" s="253">
        <v>204584000</v>
      </c>
      <c r="E213" s="253" t="s">
        <v>202</v>
      </c>
      <c r="F213" s="308" t="s">
        <v>134</v>
      </c>
      <c r="G213" s="253"/>
      <c r="H213" s="253">
        <v>20458.400000000001</v>
      </c>
      <c r="I213" s="253" t="s">
        <v>203</v>
      </c>
      <c r="K213" s="319"/>
    </row>
    <row r="214" spans="2:16" s="251" customFormat="1" ht="27" hidden="1" customHeight="1" x14ac:dyDescent="0.3">
      <c r="B214" s="253" t="s">
        <v>223</v>
      </c>
      <c r="C214" s="308" t="s">
        <v>134</v>
      </c>
      <c r="D214" s="253">
        <v>1022900</v>
      </c>
      <c r="E214" s="253" t="s">
        <v>202</v>
      </c>
      <c r="F214" s="308" t="s">
        <v>134</v>
      </c>
      <c r="G214" s="253"/>
      <c r="H214" s="253">
        <v>1022.9</v>
      </c>
      <c r="I214" s="253" t="s">
        <v>203</v>
      </c>
      <c r="K214" s="319"/>
    </row>
    <row r="215" spans="2:16" s="251" customFormat="1" ht="27" hidden="1" customHeight="1" x14ac:dyDescent="0.3">
      <c r="B215" s="253" t="s">
        <v>201</v>
      </c>
      <c r="C215" s="308" t="s">
        <v>134</v>
      </c>
      <c r="D215" s="253">
        <v>200</v>
      </c>
      <c r="E215" s="253" t="s">
        <v>202</v>
      </c>
      <c r="F215" s="308" t="s">
        <v>134</v>
      </c>
      <c r="G215" s="253"/>
      <c r="H215" s="253">
        <v>20</v>
      </c>
      <c r="I215" s="253" t="s">
        <v>203</v>
      </c>
      <c r="K215" s="319"/>
    </row>
    <row r="216" spans="2:16" s="251" customFormat="1" ht="27" hidden="1" customHeight="1" x14ac:dyDescent="0.3">
      <c r="B216" s="253" t="s">
        <v>204</v>
      </c>
      <c r="C216" s="308" t="s">
        <v>134</v>
      </c>
      <c r="D216" s="253">
        <v>334.4</v>
      </c>
      <c r="E216" s="253" t="s">
        <v>202</v>
      </c>
      <c r="F216" s="308" t="s">
        <v>134</v>
      </c>
      <c r="G216" s="253"/>
      <c r="H216" s="253">
        <v>33.44</v>
      </c>
      <c r="I216" s="253" t="s">
        <v>203</v>
      </c>
      <c r="K216" s="319"/>
    </row>
    <row r="217" spans="2:16" s="251" customFormat="1" ht="27" hidden="1" customHeight="1" x14ac:dyDescent="0.3">
      <c r="B217" s="253" t="s">
        <v>224</v>
      </c>
      <c r="C217" s="341"/>
      <c r="D217" s="253">
        <v>8.9</v>
      </c>
      <c r="E217" s="253" t="s">
        <v>202</v>
      </c>
      <c r="F217" s="308" t="s">
        <v>134</v>
      </c>
      <c r="G217" s="341"/>
      <c r="H217" s="349" t="s">
        <v>234</v>
      </c>
      <c r="I217" s="253" t="s">
        <v>203</v>
      </c>
      <c r="J217" s="261"/>
      <c r="K217" s="261"/>
    </row>
    <row r="218" spans="2:16" s="251" customFormat="1" ht="18" hidden="1" customHeight="1" x14ac:dyDescent="0.3">
      <c r="C218" s="286"/>
      <c r="F218" s="308"/>
      <c r="G218" s="286"/>
      <c r="H218" s="342"/>
      <c r="J218" s="261"/>
      <c r="K218" s="261"/>
    </row>
    <row r="219" spans="2:16" s="251" customFormat="1" ht="18" customHeight="1" x14ac:dyDescent="0.3">
      <c r="C219" s="286"/>
      <c r="F219" s="308"/>
      <c r="G219" s="286"/>
      <c r="H219" s="342"/>
      <c r="J219" s="261"/>
      <c r="K219" s="261"/>
    </row>
    <row r="220" spans="2:16" s="251" customFormat="1" ht="18.75" x14ac:dyDescent="0.3">
      <c r="C220" s="286"/>
      <c r="G220" s="332">
        <f>D41</f>
        <v>12</v>
      </c>
    </row>
    <row r="221" spans="2:16" s="251" customFormat="1" ht="23.25" customHeight="1" x14ac:dyDescent="0.3">
      <c r="C221" s="286"/>
      <c r="D221" s="350">
        <v>1.5</v>
      </c>
      <c r="E221" s="290"/>
      <c r="G221" s="494">
        <f>G220-D221-J221</f>
        <v>9</v>
      </c>
      <c r="I221" s="290"/>
      <c r="J221" s="350">
        <f>D221</f>
        <v>1.5</v>
      </c>
    </row>
    <row r="222" spans="2:16" s="251" customFormat="1" ht="24" customHeight="1" thickBot="1" x14ac:dyDescent="0.35">
      <c r="C222" s="286"/>
      <c r="D222" s="301"/>
      <c r="E222" s="301"/>
      <c r="F222" s="301"/>
      <c r="G222" s="495"/>
      <c r="H222" s="301"/>
      <c r="I222" s="301"/>
      <c r="J222" s="301"/>
      <c r="K222" s="287">
        <f>K80</f>
        <v>92.341999999999999</v>
      </c>
      <c r="L222" s="251" t="s">
        <v>180</v>
      </c>
    </row>
    <row r="223" spans="2:16" s="251" customFormat="1" ht="19.5" thickTop="1" x14ac:dyDescent="0.3">
      <c r="C223" s="286"/>
      <c r="P223" s="317"/>
    </row>
    <row r="224" spans="2:16" s="251" customFormat="1" ht="18.75" x14ac:dyDescent="0.3">
      <c r="C224" s="286"/>
    </row>
    <row r="225" spans="2:16" s="251" customFormat="1" ht="18.75" x14ac:dyDescent="0.3">
      <c r="C225" s="286"/>
    </row>
    <row r="226" spans="2:16" s="251" customFormat="1" ht="18.75" x14ac:dyDescent="0.3">
      <c r="C226" s="286"/>
      <c r="D226" s="290">
        <f>D204/2</f>
        <v>554.05383600000005</v>
      </c>
      <c r="J226" s="290">
        <f>D226</f>
        <v>554.05383600000005</v>
      </c>
      <c r="P226" s="251">
        <f>427.1*2</f>
        <v>854.2</v>
      </c>
    </row>
    <row r="227" spans="2:16" s="251" customFormat="1" ht="18.75" x14ac:dyDescent="0.3"/>
    <row r="228" spans="2:16" s="251" customFormat="1" ht="19.5" hidden="1" customHeight="1" x14ac:dyDescent="0.3">
      <c r="C228" s="286"/>
      <c r="F228" s="308"/>
      <c r="G228" s="286"/>
      <c r="H228" s="342"/>
      <c r="J228" s="261"/>
      <c r="K228" s="261"/>
    </row>
    <row r="229" spans="2:16" s="251" customFormat="1" ht="17.25" hidden="1" customHeight="1" x14ac:dyDescent="0.3">
      <c r="B229" s="479" t="s">
        <v>186</v>
      </c>
      <c r="C229" s="478" t="s">
        <v>134</v>
      </c>
      <c r="D229" s="311" t="str">
        <f>I152</f>
        <v>=</v>
      </c>
      <c r="E229" s="479" t="s">
        <v>187</v>
      </c>
      <c r="F229" s="479">
        <f>J210/1000</f>
        <v>0.48299999999999998</v>
      </c>
      <c r="G229" s="479"/>
      <c r="H229" s="478" t="s">
        <v>134</v>
      </c>
      <c r="I229" s="492" t="e">
        <f>(D229/(12*12))*F229</f>
        <v>#VALUE!</v>
      </c>
      <c r="J229" s="490" t="s">
        <v>228</v>
      </c>
      <c r="K229" s="490"/>
    </row>
    <row r="230" spans="2:16" s="251" customFormat="1" ht="17.25" hidden="1" customHeight="1" x14ac:dyDescent="0.3">
      <c r="B230" s="479"/>
      <c r="C230" s="478"/>
      <c r="D230" s="255" t="s">
        <v>190</v>
      </c>
      <c r="E230" s="479"/>
      <c r="F230" s="479"/>
      <c r="G230" s="479"/>
      <c r="H230" s="479"/>
      <c r="I230" s="492"/>
      <c r="J230" s="490"/>
      <c r="K230" s="490"/>
    </row>
    <row r="231" spans="2:16" s="251" customFormat="1" ht="17.25" customHeight="1" x14ac:dyDescent="0.3">
      <c r="H231" s="255"/>
    </row>
    <row r="232" spans="2:16" s="251" customFormat="1" ht="17.25" customHeight="1" x14ac:dyDescent="0.3">
      <c r="B232" s="479" t="s">
        <v>229</v>
      </c>
      <c r="C232" s="478" t="s">
        <v>134</v>
      </c>
      <c r="D232" s="477">
        <f>D226</f>
        <v>554.05383600000005</v>
      </c>
      <c r="E232" s="480" t="s">
        <v>171</v>
      </c>
      <c r="F232" s="476">
        <f>D232</f>
        <v>554.05383600000005</v>
      </c>
      <c r="G232" s="476"/>
      <c r="H232" s="477" t="str">
        <f>CONCATENATE("-",D221)</f>
        <v>-1.5</v>
      </c>
      <c r="I232" s="308" t="s">
        <v>134</v>
      </c>
      <c r="J232" s="258">
        <f>ROUND(D232*((D226/2/K222)-J221),3)</f>
        <v>831.08600000000001</v>
      </c>
      <c r="K232" s="316" t="s">
        <v>139</v>
      </c>
    </row>
    <row r="233" spans="2:16" s="251" customFormat="1" ht="17.25" customHeight="1" x14ac:dyDescent="0.3">
      <c r="B233" s="479"/>
      <c r="C233" s="479"/>
      <c r="D233" s="477"/>
      <c r="E233" s="480"/>
      <c r="F233" s="351" t="s">
        <v>235</v>
      </c>
      <c r="G233" s="352">
        <f>K222</f>
        <v>92.341999999999999</v>
      </c>
      <c r="H233" s="477"/>
      <c r="I233" s="255"/>
      <c r="J233" s="253"/>
      <c r="K233" s="253"/>
    </row>
    <row r="234" spans="2:16" s="251" customFormat="1" ht="17.25" customHeight="1" x14ac:dyDescent="0.3">
      <c r="B234" s="255"/>
      <c r="C234" s="255"/>
      <c r="D234" s="261"/>
      <c r="E234" s="261"/>
      <c r="F234" s="261"/>
      <c r="H234" s="255"/>
      <c r="I234" s="253"/>
      <c r="J234" s="253"/>
      <c r="K234" s="253"/>
    </row>
    <row r="235" spans="2:16" s="251" customFormat="1" ht="17.25" customHeight="1" x14ac:dyDescent="0.3">
      <c r="B235" s="255" t="s">
        <v>230</v>
      </c>
      <c r="C235" s="308" t="s">
        <v>134</v>
      </c>
      <c r="D235" s="288">
        <f>D232</f>
        <v>554.05383600000005</v>
      </c>
      <c r="E235" s="261" t="s">
        <v>192</v>
      </c>
      <c r="F235" s="293">
        <f>K222</f>
        <v>92.341999999999999</v>
      </c>
      <c r="G235" s="251" t="str">
        <f>CONCATENATE("x",D221)</f>
        <v>x1.5</v>
      </c>
      <c r="H235" s="308" t="s">
        <v>134</v>
      </c>
      <c r="I235" s="255">
        <f>ROUND(D226-(K222*J221),3)</f>
        <v>415.541</v>
      </c>
      <c r="J235" s="253" t="s">
        <v>139</v>
      </c>
      <c r="K235" s="253"/>
    </row>
    <row r="236" spans="2:16" s="251" customFormat="1" ht="17.25" customHeight="1" x14ac:dyDescent="0.3">
      <c r="B236" s="255"/>
      <c r="C236" s="308"/>
      <c r="D236" s="261"/>
      <c r="E236" s="261"/>
      <c r="F236" s="261"/>
      <c r="H236" s="308"/>
      <c r="I236" s="253"/>
      <c r="J236" s="253"/>
      <c r="K236" s="253"/>
    </row>
    <row r="237" spans="2:16" s="251" customFormat="1" ht="17.25" customHeight="1" x14ac:dyDescent="0.3">
      <c r="B237" s="255"/>
      <c r="C237" s="308"/>
      <c r="D237" s="261"/>
      <c r="E237" s="261"/>
      <c r="F237" s="261"/>
      <c r="G237" s="287"/>
      <c r="H237" s="333"/>
      <c r="I237" s="253"/>
      <c r="J237" s="253"/>
      <c r="K237" s="253"/>
    </row>
    <row r="238" spans="2:16" s="251" customFormat="1" ht="17.25" customHeight="1" x14ac:dyDescent="0.3">
      <c r="B238" s="331" t="s">
        <v>236</v>
      </c>
      <c r="C238" s="493" t="str">
        <f>CONCATENATE(J232,"/",D206)</f>
        <v>831.086/4</v>
      </c>
      <c r="D238" s="493"/>
      <c r="E238" s="261" t="s">
        <v>134</v>
      </c>
      <c r="F238" s="261">
        <f>J232/D206</f>
        <v>207.7715</v>
      </c>
      <c r="G238" s="251" t="s">
        <v>193</v>
      </c>
      <c r="H238" s="308"/>
      <c r="I238" s="253"/>
      <c r="J238" s="253"/>
      <c r="K238" s="253"/>
    </row>
    <row r="239" spans="2:16" s="251" customFormat="1" ht="17.25" customHeight="1" x14ac:dyDescent="0.3">
      <c r="B239" s="331" t="s">
        <v>237</v>
      </c>
      <c r="C239" s="493" t="str">
        <f>CONCATENATE(I235," / ",D206)</f>
        <v>415.541 / 4</v>
      </c>
      <c r="D239" s="493"/>
      <c r="E239" s="261" t="s">
        <v>134</v>
      </c>
      <c r="F239" s="261">
        <f>I235/D206</f>
        <v>103.88525</v>
      </c>
      <c r="G239" s="251" t="s">
        <v>139</v>
      </c>
      <c r="H239" s="308"/>
      <c r="I239" s="253"/>
      <c r="J239" s="253"/>
      <c r="K239" s="253"/>
    </row>
    <row r="240" spans="2:16" s="251" customFormat="1" ht="17.25" customHeight="1" x14ac:dyDescent="0.3">
      <c r="B240" s="255"/>
      <c r="C240" s="308"/>
      <c r="D240" s="261"/>
      <c r="E240" s="261"/>
      <c r="F240" s="261"/>
      <c r="H240" s="308"/>
      <c r="I240" s="253"/>
      <c r="J240" s="253"/>
      <c r="K240" s="253"/>
    </row>
    <row r="241" spans="1:14" ht="51.75" customHeight="1" x14ac:dyDescent="0.3">
      <c r="A241" s="251"/>
      <c r="B241" s="488" t="str">
        <f>'Main Beam'!A3</f>
        <v xml:space="preserve">WPB-800x300x262.33 with web plate on both sides ( 12 mm thick Ms plate) &amp; Bottom Flange plate of 30 mm thick 330 mm wide. </v>
      </c>
      <c r="C241" s="488"/>
      <c r="D241" s="488"/>
      <c r="E241" s="488"/>
      <c r="F241" s="488"/>
      <c r="G241" s="488"/>
      <c r="H241" s="488"/>
      <c r="I241" s="488"/>
      <c r="J241" s="488"/>
      <c r="K241" s="488"/>
      <c r="L241" s="488"/>
      <c r="M241" s="251"/>
    </row>
    <row r="242" spans="1:14" ht="18.75" x14ac:dyDescent="0.3">
      <c r="A242" s="251"/>
      <c r="B242" s="251" t="s">
        <v>198</v>
      </c>
      <c r="C242" s="308" t="s">
        <v>134</v>
      </c>
      <c r="D242" s="251">
        <f t="shared" ref="D242:E245" si="1">D111</f>
        <v>4282158000</v>
      </c>
      <c r="E242" s="251" t="str">
        <f t="shared" si="1"/>
        <v>mm4</v>
      </c>
      <c r="F242" s="308" t="s">
        <v>134</v>
      </c>
      <c r="G242" s="251"/>
      <c r="H242" s="317">
        <f>H111</f>
        <v>428215.8</v>
      </c>
      <c r="I242" s="251" t="s">
        <v>203</v>
      </c>
      <c r="J242" s="251"/>
      <c r="K242" s="319"/>
      <c r="L242" s="251"/>
      <c r="M242" s="251"/>
    </row>
    <row r="243" spans="1:14" ht="18.75" x14ac:dyDescent="0.3">
      <c r="A243" s="251"/>
      <c r="B243" s="251" t="s">
        <v>201</v>
      </c>
      <c r="C243" s="308" t="s">
        <v>134</v>
      </c>
      <c r="D243" s="251">
        <f t="shared" si="1"/>
        <v>400</v>
      </c>
      <c r="E243" s="251" t="str">
        <f t="shared" si="1"/>
        <v>mm</v>
      </c>
      <c r="F243" s="308" t="s">
        <v>134</v>
      </c>
      <c r="G243" s="251"/>
      <c r="H243" s="251">
        <f>H112</f>
        <v>40</v>
      </c>
      <c r="I243" s="251" t="s">
        <v>203</v>
      </c>
      <c r="J243" s="251"/>
      <c r="K243" s="319"/>
      <c r="L243" s="251"/>
      <c r="M243" s="251"/>
    </row>
    <row r="244" spans="1:14" ht="18.75" x14ac:dyDescent="0.3">
      <c r="A244" s="251"/>
      <c r="B244" s="251" t="s">
        <v>204</v>
      </c>
      <c r="C244" s="308" t="s">
        <v>134</v>
      </c>
      <c r="D244" s="251">
        <f t="shared" si="1"/>
        <v>734</v>
      </c>
      <c r="E244" s="251" t="str">
        <f t="shared" si="1"/>
        <v>mm</v>
      </c>
      <c r="F244" s="308" t="s">
        <v>134</v>
      </c>
      <c r="G244" s="251"/>
      <c r="H244" s="251">
        <f>H113</f>
        <v>73.400000000000006</v>
      </c>
      <c r="I244" s="251" t="s">
        <v>203</v>
      </c>
      <c r="J244" s="251"/>
      <c r="K244" s="319"/>
      <c r="L244" s="251"/>
      <c r="M244" s="251"/>
    </row>
    <row r="245" spans="1:14" ht="18.75" x14ac:dyDescent="0.3">
      <c r="A245" s="251"/>
      <c r="B245" s="251" t="s">
        <v>224</v>
      </c>
      <c r="C245" s="308" t="s">
        <v>134</v>
      </c>
      <c r="D245" s="251">
        <f t="shared" si="1"/>
        <v>41.5</v>
      </c>
      <c r="E245" s="251" t="str">
        <f t="shared" si="1"/>
        <v>mm</v>
      </c>
      <c r="F245" s="308" t="s">
        <v>134</v>
      </c>
      <c r="G245" s="251"/>
      <c r="H245" s="251">
        <f>H114</f>
        <v>4.1500000000000004</v>
      </c>
      <c r="I245" s="251" t="s">
        <v>203</v>
      </c>
      <c r="J245" s="251"/>
      <c r="K245" s="319"/>
      <c r="L245" s="251"/>
      <c r="M245" s="251"/>
    </row>
    <row r="246" spans="1:14" ht="18.75" x14ac:dyDescent="0.3">
      <c r="A246" s="251"/>
      <c r="B246" s="251" t="s">
        <v>223</v>
      </c>
      <c r="C246" s="308" t="s">
        <v>134</v>
      </c>
      <c r="D246" s="251">
        <f>D115</f>
        <v>107053950</v>
      </c>
      <c r="E246" s="251" t="s">
        <v>225</v>
      </c>
      <c r="F246" s="308" t="s">
        <v>134</v>
      </c>
      <c r="G246" s="251"/>
      <c r="H246" s="317">
        <f>H115</f>
        <v>10705.395</v>
      </c>
      <c r="I246" s="251" t="s">
        <v>211</v>
      </c>
      <c r="J246" s="251"/>
      <c r="K246" s="319"/>
      <c r="L246" s="251"/>
      <c r="M246" s="251"/>
    </row>
    <row r="247" spans="1:14" ht="17.25" customHeight="1" x14ac:dyDescent="0.3">
      <c r="A247" s="251"/>
      <c r="B247" s="479" t="s">
        <v>551</v>
      </c>
      <c r="C247" s="478" t="s">
        <v>134</v>
      </c>
      <c r="D247" s="313">
        <f>F238</f>
        <v>207.7715</v>
      </c>
      <c r="E247" s="314" t="s">
        <v>171</v>
      </c>
      <c r="F247" s="315" t="s">
        <v>558</v>
      </c>
      <c r="G247" s="353">
        <f>H243</f>
        <v>40</v>
      </c>
      <c r="H247" s="308" t="s">
        <v>134</v>
      </c>
      <c r="I247" s="354">
        <f>D247*100000*G247/D248</f>
        <v>1940.8111517603975</v>
      </c>
      <c r="J247" s="316" t="s">
        <v>139</v>
      </c>
      <c r="K247" s="251"/>
      <c r="L247" s="251"/>
      <c r="M247" s="251"/>
      <c r="N247" s="82">
        <f>6*6*6*6*6</f>
        <v>7776</v>
      </c>
    </row>
    <row r="248" spans="1:14" ht="17.25" customHeight="1" x14ac:dyDescent="0.3">
      <c r="A248" s="251"/>
      <c r="B248" s="479"/>
      <c r="C248" s="479"/>
      <c r="D248" s="483">
        <f>H242</f>
        <v>428215.8</v>
      </c>
      <c r="E248" s="483"/>
      <c r="F248" s="483"/>
      <c r="G248" s="483"/>
      <c r="H248" s="253"/>
      <c r="I248" s="253"/>
      <c r="J248" s="253"/>
      <c r="K248" s="253"/>
      <c r="L248" s="251"/>
      <c r="M248" s="251"/>
    </row>
    <row r="249" spans="1:14" ht="17.25" customHeight="1" x14ac:dyDescent="0.3">
      <c r="A249" s="251"/>
      <c r="B249" s="255"/>
      <c r="C249" s="308"/>
      <c r="D249" s="261"/>
      <c r="E249" s="261"/>
      <c r="F249" s="261"/>
      <c r="G249" s="251"/>
      <c r="H249" s="255" t="s">
        <v>134</v>
      </c>
      <c r="I249" s="253" t="s">
        <v>556</v>
      </c>
      <c r="J249" s="253"/>
      <c r="K249" s="253"/>
      <c r="L249" s="251"/>
      <c r="M249" s="251"/>
    </row>
    <row r="250" spans="1:14" ht="17.25" customHeight="1" x14ac:dyDescent="0.3">
      <c r="A250" s="251"/>
      <c r="B250" s="255"/>
      <c r="C250" s="308"/>
      <c r="D250" s="261"/>
      <c r="E250" s="261"/>
      <c r="F250" s="261"/>
      <c r="G250" s="251"/>
      <c r="H250" s="308"/>
      <c r="I250" s="253"/>
      <c r="J250" s="253"/>
      <c r="K250" s="253"/>
      <c r="L250" s="251"/>
      <c r="M250" s="251"/>
    </row>
    <row r="251" spans="1:14" ht="17.25" customHeight="1" x14ac:dyDescent="0.3">
      <c r="A251" s="251"/>
      <c r="B251" s="255"/>
      <c r="C251" s="308"/>
      <c r="D251" s="261"/>
      <c r="E251" s="261"/>
      <c r="F251" s="261"/>
      <c r="G251" s="251"/>
      <c r="H251" s="255" t="s">
        <v>134</v>
      </c>
      <c r="I251" s="255">
        <f>1650*1.25</f>
        <v>2062.5</v>
      </c>
      <c r="J251" s="251" t="s">
        <v>206</v>
      </c>
      <c r="K251" s="253"/>
      <c r="L251" s="251"/>
      <c r="M251" s="251"/>
    </row>
    <row r="252" spans="1:14" ht="17.25" customHeight="1" x14ac:dyDescent="0.3">
      <c r="A252" s="251"/>
      <c r="B252" s="255"/>
      <c r="C252" s="308"/>
      <c r="D252" s="261"/>
      <c r="E252" s="261"/>
      <c r="F252" s="261"/>
      <c r="G252" s="251"/>
      <c r="H252" s="255" t="s">
        <v>134</v>
      </c>
      <c r="I252" s="319" t="s">
        <v>208</v>
      </c>
      <c r="J252" s="253"/>
      <c r="K252" s="345"/>
      <c r="L252" s="251"/>
      <c r="M252" s="251"/>
    </row>
    <row r="253" spans="1:14" ht="17.25" customHeight="1" x14ac:dyDescent="0.3">
      <c r="A253" s="251"/>
      <c r="B253" s="255"/>
      <c r="C253" s="308"/>
      <c r="D253" s="261"/>
      <c r="E253" s="261"/>
      <c r="F253" s="261"/>
      <c r="G253" s="251"/>
      <c r="H253" s="341"/>
      <c r="I253" s="253"/>
      <c r="J253" s="253"/>
      <c r="K253" s="253"/>
      <c r="L253" s="251"/>
      <c r="M253" s="251"/>
    </row>
    <row r="254" spans="1:14" ht="17.25" customHeight="1" x14ac:dyDescent="0.3">
      <c r="A254" s="251"/>
      <c r="B254" s="255" t="s">
        <v>231</v>
      </c>
      <c r="C254" s="308" t="s">
        <v>134</v>
      </c>
      <c r="D254" s="251">
        <f>F239</f>
        <v>103.88525</v>
      </c>
      <c r="E254" s="255" t="s">
        <v>171</v>
      </c>
      <c r="F254" s="251">
        <v>1000</v>
      </c>
      <c r="G254" s="251"/>
      <c r="H254" s="308" t="s">
        <v>134</v>
      </c>
      <c r="I254" s="355">
        <f>D254*F254/D255/F255</f>
        <v>341.04346541479265</v>
      </c>
      <c r="J254" s="251"/>
      <c r="K254" s="251"/>
      <c r="L254" s="251"/>
      <c r="M254" s="251"/>
    </row>
    <row r="255" spans="1:14" ht="17.25" customHeight="1" x14ac:dyDescent="0.3">
      <c r="A255" s="251"/>
      <c r="B255" s="251"/>
      <c r="C255" s="251"/>
      <c r="D255" s="328">
        <f>H244</f>
        <v>73.400000000000006</v>
      </c>
      <c r="E255" s="255" t="s">
        <v>171</v>
      </c>
      <c r="F255" s="356">
        <f>H245</f>
        <v>4.1500000000000004</v>
      </c>
      <c r="G255" s="251"/>
      <c r="H255" s="251"/>
      <c r="I255" s="251"/>
      <c r="J255" s="251"/>
      <c r="K255" s="319"/>
      <c r="L255" s="251"/>
      <c r="M255" s="251"/>
    </row>
    <row r="256" spans="1:14" ht="17.25" customHeight="1" x14ac:dyDescent="0.3">
      <c r="A256" s="251"/>
      <c r="B256" s="255"/>
      <c r="C256" s="308"/>
      <c r="D256" s="261"/>
      <c r="E256" s="261"/>
      <c r="F256" s="261"/>
      <c r="G256" s="251"/>
      <c r="H256" s="255" t="s">
        <v>134</v>
      </c>
      <c r="I256" s="253" t="s">
        <v>557</v>
      </c>
      <c r="J256" s="253"/>
      <c r="K256" s="253"/>
      <c r="L256" s="251"/>
      <c r="M256" s="251"/>
    </row>
    <row r="257" spans="1:13" ht="17.25" customHeight="1" x14ac:dyDescent="0.3">
      <c r="A257" s="251"/>
      <c r="B257" s="255"/>
      <c r="C257" s="308"/>
      <c r="D257" s="261"/>
      <c r="E257" s="261"/>
      <c r="F257" s="261"/>
      <c r="G257" s="251"/>
      <c r="H257" s="308"/>
      <c r="I257" s="253"/>
      <c r="J257" s="253"/>
      <c r="K257" s="253"/>
      <c r="L257" s="251"/>
      <c r="M257" s="251"/>
    </row>
    <row r="258" spans="1:13" ht="17.25" customHeight="1" x14ac:dyDescent="0.3">
      <c r="A258" s="251"/>
      <c r="B258" s="255"/>
      <c r="C258" s="308"/>
      <c r="D258" s="261"/>
      <c r="E258" s="261"/>
      <c r="F258" s="261"/>
      <c r="G258" s="251"/>
      <c r="H258" s="255" t="s">
        <v>134</v>
      </c>
      <c r="I258" s="255">
        <f>1000*1.25</f>
        <v>1250</v>
      </c>
      <c r="J258" s="251" t="s">
        <v>206</v>
      </c>
      <c r="K258" s="253"/>
      <c r="L258" s="251"/>
      <c r="M258" s="251"/>
    </row>
    <row r="259" spans="1:13" ht="17.25" customHeight="1" x14ac:dyDescent="0.3">
      <c r="A259" s="251"/>
      <c r="B259" s="255"/>
      <c r="C259" s="308"/>
      <c r="D259" s="261"/>
      <c r="E259" s="261"/>
      <c r="F259" s="261"/>
      <c r="G259" s="251"/>
      <c r="H259" s="255" t="s">
        <v>134</v>
      </c>
      <c r="I259" s="319" t="s">
        <v>208</v>
      </c>
      <c r="J259" s="253"/>
      <c r="K259" s="345"/>
      <c r="L259" s="251"/>
      <c r="M259" s="251"/>
    </row>
    <row r="260" spans="1:13" ht="13.5" hidden="1" customHeight="1" x14ac:dyDescent="0.3">
      <c r="A260" s="251"/>
      <c r="B260" s="255"/>
      <c r="C260" s="308"/>
      <c r="D260" s="261"/>
      <c r="E260" s="261"/>
      <c r="F260" s="261"/>
      <c r="G260" s="251"/>
      <c r="H260" s="341"/>
      <c r="I260" s="253"/>
      <c r="J260" s="253"/>
      <c r="K260" s="253"/>
      <c r="L260" s="251"/>
      <c r="M260" s="251"/>
    </row>
    <row r="261" spans="1:13" ht="13.5" hidden="1" customHeight="1" x14ac:dyDescent="0.3">
      <c r="A261" s="251"/>
      <c r="B261" s="255"/>
      <c r="C261" s="308"/>
      <c r="D261" s="261"/>
      <c r="E261" s="261"/>
      <c r="F261" s="261"/>
      <c r="G261" s="251"/>
      <c r="H261" s="341"/>
      <c r="I261" s="253"/>
      <c r="J261" s="253"/>
      <c r="K261" s="253"/>
      <c r="L261" s="251"/>
      <c r="M261" s="251"/>
    </row>
    <row r="262" spans="1:13" ht="13.5" hidden="1" customHeight="1" x14ac:dyDescent="0.3">
      <c r="A262" s="251"/>
      <c r="B262" s="255"/>
      <c r="C262" s="308"/>
      <c r="D262" s="261"/>
      <c r="E262" s="261"/>
      <c r="F262" s="261"/>
      <c r="G262" s="251"/>
      <c r="H262" s="341"/>
      <c r="I262" s="357"/>
      <c r="J262" s="253"/>
      <c r="K262" s="253"/>
      <c r="L262" s="251"/>
      <c r="M262" s="251"/>
    </row>
    <row r="263" spans="1:13" ht="13.5" hidden="1" customHeight="1" x14ac:dyDescent="0.3">
      <c r="A263" s="251"/>
      <c r="B263" s="253"/>
      <c r="C263" s="341"/>
      <c r="D263" s="251"/>
      <c r="E263" s="358"/>
      <c r="F263" s="251"/>
      <c r="G263" s="341"/>
      <c r="H263" s="341"/>
      <c r="I263" s="359"/>
      <c r="J263" s="316"/>
      <c r="K263" s="251"/>
      <c r="L263" s="251"/>
      <c r="M263" s="251"/>
    </row>
    <row r="264" spans="1:13" ht="13.5" hidden="1" customHeight="1" x14ac:dyDescent="0.3">
      <c r="A264" s="251"/>
      <c r="B264" s="253"/>
      <c r="C264" s="253"/>
      <c r="D264" s="255"/>
      <c r="E264" s="251"/>
      <c r="F264" s="251"/>
      <c r="G264" s="251"/>
      <c r="H264" s="253"/>
      <c r="I264" s="357"/>
      <c r="J264" s="253"/>
      <c r="K264" s="253"/>
      <c r="L264" s="251"/>
      <c r="M264" s="251"/>
    </row>
    <row r="265" spans="1:13" ht="13.5" hidden="1" customHeight="1" x14ac:dyDescent="0.3">
      <c r="A265" s="251"/>
      <c r="B265" s="255"/>
      <c r="C265" s="255"/>
      <c r="D265" s="255"/>
      <c r="E265" s="261"/>
      <c r="F265" s="261"/>
      <c r="G265" s="251"/>
      <c r="H265" s="253"/>
      <c r="I265" s="359"/>
      <c r="J265" s="253"/>
      <c r="K265" s="253"/>
      <c r="L265" s="251"/>
      <c r="M265" s="251"/>
    </row>
    <row r="266" spans="1:13" ht="13.5" hidden="1" customHeight="1" x14ac:dyDescent="0.3">
      <c r="A266" s="251"/>
      <c r="B266" s="255"/>
      <c r="C266" s="255"/>
      <c r="D266" s="255"/>
      <c r="E266" s="261"/>
      <c r="F266" s="261"/>
      <c r="G266" s="251"/>
      <c r="H266" s="253"/>
      <c r="I266" s="359"/>
      <c r="J266" s="253"/>
      <c r="K266" s="253"/>
      <c r="L266" s="251"/>
      <c r="M266" s="251"/>
    </row>
    <row r="267" spans="1:13" ht="13.5" hidden="1" customHeight="1" x14ac:dyDescent="0.3">
      <c r="A267" s="251"/>
      <c r="B267" s="255"/>
      <c r="C267" s="255"/>
      <c r="D267" s="255"/>
      <c r="E267" s="261"/>
      <c r="F267" s="261"/>
      <c r="G267" s="251"/>
      <c r="H267" s="253"/>
      <c r="I267" s="359"/>
      <c r="J267" s="253"/>
      <c r="K267" s="253"/>
      <c r="L267" s="251"/>
      <c r="M267" s="251"/>
    </row>
    <row r="268" spans="1:13" ht="13.5" hidden="1" customHeight="1" x14ac:dyDescent="0.3">
      <c r="A268" s="251"/>
      <c r="B268" s="255"/>
      <c r="C268" s="255"/>
      <c r="D268" s="255"/>
      <c r="E268" s="261"/>
      <c r="F268" s="261"/>
      <c r="G268" s="251"/>
      <c r="H268" s="253"/>
      <c r="I268" s="359"/>
      <c r="J268" s="253"/>
      <c r="K268" s="253"/>
      <c r="L268" s="251"/>
      <c r="M268" s="251"/>
    </row>
    <row r="269" spans="1:13" ht="13.5" hidden="1" customHeight="1" x14ac:dyDescent="0.3">
      <c r="A269" s="251"/>
      <c r="B269" s="255"/>
      <c r="C269" s="255"/>
      <c r="D269" s="255"/>
      <c r="E269" s="261"/>
      <c r="F269" s="261"/>
      <c r="G269" s="251"/>
      <c r="H269" s="253"/>
      <c r="I269" s="359"/>
      <c r="J269" s="253"/>
      <c r="K269" s="253"/>
      <c r="L269" s="251"/>
      <c r="M269" s="251"/>
    </row>
    <row r="270" spans="1:13" ht="13.5" hidden="1" customHeight="1" x14ac:dyDescent="0.3">
      <c r="A270" s="251"/>
      <c r="B270" s="255"/>
      <c r="C270" s="255"/>
      <c r="D270" s="255"/>
      <c r="E270" s="261"/>
      <c r="F270" s="261"/>
      <c r="G270" s="251"/>
      <c r="H270" s="253"/>
      <c r="I270" s="359"/>
      <c r="J270" s="253"/>
      <c r="K270" s="253"/>
      <c r="L270" s="251"/>
      <c r="M270" s="251"/>
    </row>
    <row r="271" spans="1:13" ht="13.5" hidden="1" customHeight="1" x14ac:dyDescent="0.3">
      <c r="A271" s="251"/>
      <c r="B271" s="255"/>
      <c r="C271" s="255"/>
      <c r="D271" s="255"/>
      <c r="E271" s="261"/>
      <c r="F271" s="261"/>
      <c r="G271" s="251"/>
      <c r="H271" s="253"/>
      <c r="I271" s="359"/>
      <c r="J271" s="253"/>
      <c r="K271" s="253"/>
      <c r="L271" s="251"/>
      <c r="M271" s="251"/>
    </row>
    <row r="272" spans="1:13" ht="13.5" hidden="1" customHeight="1" x14ac:dyDescent="0.3">
      <c r="A272" s="251"/>
      <c r="B272" s="255"/>
      <c r="C272" s="255"/>
      <c r="D272" s="255"/>
      <c r="E272" s="261"/>
      <c r="F272" s="261"/>
      <c r="G272" s="251"/>
      <c r="H272" s="253"/>
      <c r="I272" s="359"/>
      <c r="J272" s="253"/>
      <c r="K272" s="253"/>
      <c r="L272" s="251"/>
      <c r="M272" s="251"/>
    </row>
    <row r="273" spans="1:13" ht="13.5" hidden="1" customHeight="1" x14ac:dyDescent="0.3">
      <c r="A273" s="251"/>
      <c r="B273" s="255"/>
      <c r="C273" s="255"/>
      <c r="D273" s="255"/>
      <c r="E273" s="261"/>
      <c r="F273" s="261"/>
      <c r="G273" s="251"/>
      <c r="H273" s="253"/>
      <c r="I273" s="359"/>
      <c r="J273" s="253"/>
      <c r="K273" s="253"/>
      <c r="L273" s="251"/>
      <c r="M273" s="251"/>
    </row>
    <row r="274" spans="1:13" ht="13.5" hidden="1" customHeight="1" x14ac:dyDescent="0.3">
      <c r="A274" s="251"/>
      <c r="B274" s="255"/>
      <c r="C274" s="255"/>
      <c r="D274" s="255"/>
      <c r="E274" s="261"/>
      <c r="F274" s="261"/>
      <c r="G274" s="251"/>
      <c r="H274" s="253"/>
      <c r="I274" s="359"/>
      <c r="J274" s="253"/>
      <c r="K274" s="253"/>
      <c r="L274" s="251"/>
      <c r="M274" s="251"/>
    </row>
    <row r="275" spans="1:13" ht="13.5" hidden="1" customHeight="1" x14ac:dyDescent="0.3">
      <c r="A275" s="251"/>
      <c r="B275" s="255"/>
      <c r="C275" s="255"/>
      <c r="D275" s="255"/>
      <c r="E275" s="261"/>
      <c r="F275" s="261"/>
      <c r="G275" s="251"/>
      <c r="H275" s="253"/>
      <c r="I275" s="359"/>
      <c r="J275" s="253"/>
      <c r="K275" s="253"/>
      <c r="L275" s="251"/>
      <c r="M275" s="251"/>
    </row>
    <row r="276" spans="1:13" ht="13.5" hidden="1" customHeight="1" x14ac:dyDescent="0.3">
      <c r="A276" s="251"/>
      <c r="B276" s="255"/>
      <c r="C276" s="255"/>
      <c r="D276" s="255"/>
      <c r="E276" s="261"/>
      <c r="F276" s="261"/>
      <c r="G276" s="251"/>
      <c r="H276" s="253"/>
      <c r="I276" s="359"/>
      <c r="J276" s="253"/>
      <c r="K276" s="253"/>
      <c r="L276" s="251"/>
      <c r="M276" s="251"/>
    </row>
    <row r="277" spans="1:13" ht="13.5" hidden="1" customHeight="1" x14ac:dyDescent="0.3">
      <c r="A277" s="251"/>
      <c r="B277" s="255"/>
      <c r="C277" s="255"/>
      <c r="D277" s="255"/>
      <c r="E277" s="261"/>
      <c r="F277" s="261"/>
      <c r="G277" s="251"/>
      <c r="H277" s="253"/>
      <c r="I277" s="359"/>
      <c r="J277" s="253"/>
      <c r="K277" s="253"/>
      <c r="L277" s="251"/>
      <c r="M277" s="251"/>
    </row>
    <row r="278" spans="1:13" ht="13.5" hidden="1" customHeight="1" x14ac:dyDescent="0.3">
      <c r="A278" s="251"/>
      <c r="B278" s="255"/>
      <c r="C278" s="255"/>
      <c r="D278" s="255"/>
      <c r="E278" s="261"/>
      <c r="F278" s="261"/>
      <c r="G278" s="251"/>
      <c r="H278" s="253"/>
      <c r="I278" s="359"/>
      <c r="J278" s="253"/>
      <c r="K278" s="253"/>
      <c r="L278" s="251"/>
      <c r="M278" s="251"/>
    </row>
    <row r="279" spans="1:13" ht="13.5" hidden="1" customHeight="1" x14ac:dyDescent="0.3">
      <c r="A279" s="251"/>
      <c r="B279" s="255"/>
      <c r="C279" s="255"/>
      <c r="D279" s="255"/>
      <c r="E279" s="261"/>
      <c r="F279" s="261"/>
      <c r="G279" s="251"/>
      <c r="H279" s="253"/>
      <c r="I279" s="359"/>
      <c r="J279" s="253"/>
      <c r="K279" s="253"/>
      <c r="L279" s="251"/>
      <c r="M279" s="251"/>
    </row>
    <row r="280" spans="1:13" ht="13.5" hidden="1" customHeight="1" x14ac:dyDescent="0.3">
      <c r="A280" s="251"/>
      <c r="B280" s="255"/>
      <c r="C280" s="255"/>
      <c r="D280" s="255"/>
      <c r="E280" s="261"/>
      <c r="F280" s="261"/>
      <c r="G280" s="251"/>
      <c r="H280" s="253"/>
      <c r="I280" s="359"/>
      <c r="J280" s="253"/>
      <c r="K280" s="253"/>
      <c r="L280" s="251"/>
      <c r="M280" s="251"/>
    </row>
    <row r="281" spans="1:13" ht="18.75" hidden="1" x14ac:dyDescent="0.3">
      <c r="A281" s="251"/>
      <c r="B281" s="251"/>
      <c r="C281" s="251"/>
      <c r="D281" s="360"/>
      <c r="E281" s="360"/>
      <c r="F281" s="360"/>
      <c r="G281" s="361"/>
      <c r="H281" s="360"/>
      <c r="I281" s="360"/>
      <c r="J281" s="360"/>
      <c r="K281" s="360"/>
      <c r="L281" s="251"/>
      <c r="M281" s="251"/>
    </row>
    <row r="282" spans="1:13" ht="18.75" hidden="1" x14ac:dyDescent="0.3">
      <c r="A282" s="251"/>
      <c r="B282" s="251" t="s">
        <v>238</v>
      </c>
      <c r="C282" s="251"/>
      <c r="D282" s="251"/>
      <c r="E282" s="251"/>
      <c r="F282" s="251"/>
      <c r="G282" s="251"/>
      <c r="H282" s="251"/>
      <c r="I282" s="251"/>
      <c r="J282" s="251"/>
      <c r="K282" s="251"/>
      <c r="L282" s="251"/>
      <c r="M282" s="251"/>
    </row>
    <row r="283" spans="1:13" ht="18.75" hidden="1" x14ac:dyDescent="0.3">
      <c r="A283" s="251"/>
      <c r="B283" s="251"/>
      <c r="C283" s="251"/>
      <c r="D283" s="251"/>
      <c r="E283" s="251"/>
      <c r="F283" s="251"/>
      <c r="G283" s="251">
        <v>420</v>
      </c>
      <c r="H283" s="251"/>
      <c r="I283" s="251"/>
      <c r="J283" s="251"/>
      <c r="K283" s="251"/>
      <c r="L283" s="251"/>
      <c r="M283" s="251"/>
    </row>
    <row r="284" spans="1:13" ht="18.75" hidden="1" x14ac:dyDescent="0.3">
      <c r="A284" s="251"/>
      <c r="B284" s="320" t="s">
        <v>239</v>
      </c>
      <c r="C284" s="255" t="s">
        <v>134</v>
      </c>
      <c r="D284" s="284">
        <v>420</v>
      </c>
      <c r="E284" s="251"/>
      <c r="F284" s="251"/>
      <c r="G284" s="251"/>
      <c r="H284" s="251"/>
      <c r="I284" s="251"/>
      <c r="J284" s="251"/>
      <c r="K284" s="251"/>
      <c r="L284" s="251"/>
      <c r="M284" s="251"/>
    </row>
    <row r="285" spans="1:13" ht="18.75" hidden="1" x14ac:dyDescent="0.3">
      <c r="A285" s="251"/>
      <c r="B285" s="320" t="s">
        <v>559</v>
      </c>
      <c r="C285" s="255" t="s">
        <v>134</v>
      </c>
      <c r="D285" s="284">
        <v>20</v>
      </c>
      <c r="E285" s="251"/>
      <c r="F285" s="251"/>
      <c r="G285" s="251"/>
      <c r="H285" s="251"/>
      <c r="I285" s="251"/>
      <c r="J285" s="251"/>
      <c r="K285" s="251"/>
      <c r="L285" s="251"/>
      <c r="M285" s="251"/>
    </row>
    <row r="286" spans="1:13" ht="18.75" hidden="1" x14ac:dyDescent="0.3">
      <c r="A286" s="251"/>
      <c r="B286" s="320" t="s">
        <v>240</v>
      </c>
      <c r="C286" s="255" t="s">
        <v>134</v>
      </c>
      <c r="D286" s="284">
        <v>16</v>
      </c>
      <c r="E286" s="251"/>
      <c r="F286" s="251"/>
      <c r="G286" s="284">
        <v>16</v>
      </c>
      <c r="H286" s="251"/>
      <c r="I286" s="251"/>
      <c r="J286" s="251"/>
      <c r="K286" s="251"/>
      <c r="L286" s="251"/>
      <c r="M286" s="251"/>
    </row>
    <row r="287" spans="1:13" ht="18.75" hidden="1" x14ac:dyDescent="0.3">
      <c r="A287" s="251"/>
      <c r="B287" s="320" t="s">
        <v>241</v>
      </c>
      <c r="C287" s="255" t="s">
        <v>134</v>
      </c>
      <c r="D287" s="284">
        <v>700</v>
      </c>
      <c r="E287" s="251"/>
      <c r="F287" s="251"/>
      <c r="G287" s="251"/>
      <c r="H287" s="261">
        <v>660</v>
      </c>
      <c r="I287" s="261">
        <v>700</v>
      </c>
      <c r="J287" s="251"/>
      <c r="K287" s="251"/>
      <c r="L287" s="251"/>
      <c r="M287" s="251"/>
    </row>
    <row r="288" spans="1:13" ht="18.75" hidden="1" x14ac:dyDescent="0.3">
      <c r="A288" s="251"/>
      <c r="B288" s="320" t="s">
        <v>204</v>
      </c>
      <c r="C288" s="255" t="s">
        <v>134</v>
      </c>
      <c r="D288" s="284">
        <v>660</v>
      </c>
      <c r="E288" s="251"/>
      <c r="F288" s="251"/>
      <c r="G288" s="251"/>
      <c r="H288" s="251"/>
      <c r="I288" s="251"/>
      <c r="J288" s="251"/>
      <c r="K288" s="251"/>
      <c r="L288" s="251"/>
      <c r="M288" s="251"/>
    </row>
    <row r="289" spans="1:13" ht="18.75" hidden="1" x14ac:dyDescent="0.3">
      <c r="A289" s="251"/>
      <c r="B289" s="320" t="s">
        <v>242</v>
      </c>
      <c r="C289" s="255" t="s">
        <v>134</v>
      </c>
      <c r="D289" s="284">
        <v>330</v>
      </c>
      <c r="E289" s="251"/>
      <c r="F289" s="251"/>
      <c r="G289" s="251"/>
      <c r="H289" s="251"/>
      <c r="I289" s="251"/>
      <c r="J289" s="251"/>
      <c r="K289" s="251"/>
      <c r="L289" s="251"/>
      <c r="M289" s="251"/>
    </row>
    <row r="290" spans="1:13" ht="18.75" hidden="1" x14ac:dyDescent="0.3">
      <c r="A290" s="251"/>
      <c r="B290" s="320" t="s">
        <v>243</v>
      </c>
      <c r="C290" s="255" t="s">
        <v>134</v>
      </c>
      <c r="D290" s="284">
        <v>350</v>
      </c>
      <c r="E290" s="251"/>
      <c r="F290" s="251"/>
      <c r="G290" s="251"/>
      <c r="H290" s="251"/>
      <c r="I290" s="251"/>
      <c r="J290" s="251"/>
      <c r="K290" s="251"/>
      <c r="L290" s="251"/>
      <c r="M290" s="251"/>
    </row>
    <row r="291" spans="1:13" ht="18.75" hidden="1" x14ac:dyDescent="0.3">
      <c r="A291" s="251"/>
      <c r="B291" s="320" t="s">
        <v>171</v>
      </c>
      <c r="C291" s="255" t="s">
        <v>134</v>
      </c>
      <c r="D291" s="284">
        <v>340</v>
      </c>
      <c r="E291" s="251"/>
      <c r="F291" s="284">
        <v>20</v>
      </c>
      <c r="G291" s="251"/>
      <c r="H291" s="251"/>
      <c r="I291" s="251"/>
      <c r="J291" s="251"/>
      <c r="K291" s="251"/>
      <c r="L291" s="251"/>
      <c r="M291" s="251"/>
    </row>
    <row r="292" spans="1:13" ht="18.75" hidden="1" x14ac:dyDescent="0.3">
      <c r="A292" s="251"/>
      <c r="B292" s="251"/>
      <c r="C292" s="255"/>
      <c r="D292" s="251"/>
      <c r="E292" s="251"/>
      <c r="F292" s="251"/>
      <c r="G292" s="251"/>
      <c r="H292" s="251"/>
      <c r="I292" s="251"/>
      <c r="J292" s="251"/>
      <c r="K292" s="251"/>
      <c r="L292" s="251"/>
      <c r="M292" s="251"/>
    </row>
    <row r="293" spans="1:13" ht="18.75" hidden="1" x14ac:dyDescent="0.3">
      <c r="A293" s="251"/>
      <c r="B293" s="251"/>
      <c r="C293" s="255"/>
      <c r="D293" s="251"/>
      <c r="E293" s="251"/>
      <c r="F293" s="251"/>
      <c r="G293" s="251"/>
      <c r="H293" s="251"/>
      <c r="I293" s="251"/>
      <c r="J293" s="251"/>
      <c r="K293" s="251"/>
      <c r="L293" s="251"/>
      <c r="M293" s="251"/>
    </row>
    <row r="294" spans="1:13" ht="18.75" hidden="1" x14ac:dyDescent="0.3">
      <c r="A294" s="251"/>
      <c r="B294" s="320" t="s">
        <v>560</v>
      </c>
      <c r="C294" s="255" t="s">
        <v>134</v>
      </c>
      <c r="D294" s="362" t="s">
        <v>561</v>
      </c>
      <c r="E294" s="251"/>
      <c r="F294" s="251"/>
      <c r="G294" s="251"/>
      <c r="H294" s="251"/>
      <c r="I294" s="251"/>
      <c r="J294" s="251"/>
      <c r="K294" s="251"/>
      <c r="L294" s="251"/>
      <c r="M294" s="251"/>
    </row>
    <row r="295" spans="1:13" ht="6.75" hidden="1" customHeight="1" x14ac:dyDescent="0.3">
      <c r="A295" s="251"/>
      <c r="B295" s="251"/>
      <c r="C295" s="255"/>
      <c r="D295" s="251"/>
      <c r="E295" s="251"/>
      <c r="F295" s="251"/>
      <c r="G295" s="251"/>
      <c r="H295" s="251"/>
      <c r="I295" s="251"/>
      <c r="J295" s="251"/>
      <c r="K295" s="251"/>
      <c r="L295" s="251"/>
      <c r="M295" s="251"/>
    </row>
    <row r="296" spans="1:13" ht="18.75" hidden="1" x14ac:dyDescent="0.3">
      <c r="A296" s="251"/>
      <c r="B296" s="251"/>
      <c r="C296" s="261" t="s">
        <v>134</v>
      </c>
      <c r="D296" s="251" t="s">
        <v>562</v>
      </c>
      <c r="E296" s="251"/>
      <c r="F296" s="251"/>
      <c r="G296" s="251"/>
      <c r="H296" s="251"/>
      <c r="I296" s="251"/>
      <c r="J296" s="251"/>
      <c r="K296" s="251"/>
      <c r="L296" s="251"/>
      <c r="M296" s="251"/>
    </row>
    <row r="297" spans="1:13" ht="6.75" hidden="1" customHeight="1" x14ac:dyDescent="0.3">
      <c r="A297" s="251"/>
      <c r="B297" s="251"/>
      <c r="C297" s="251"/>
      <c r="D297" s="251"/>
      <c r="E297" s="251"/>
      <c r="F297" s="251"/>
      <c r="G297" s="251"/>
      <c r="H297" s="251"/>
      <c r="I297" s="251"/>
      <c r="J297" s="251"/>
      <c r="K297" s="251"/>
      <c r="L297" s="251"/>
      <c r="M297" s="251"/>
    </row>
    <row r="298" spans="1:13" ht="18.75" hidden="1" x14ac:dyDescent="0.3">
      <c r="A298" s="251"/>
      <c r="B298" s="251"/>
      <c r="C298" s="261" t="s">
        <v>134</v>
      </c>
      <c r="D298" s="251">
        <f>(1/12)*42*((70*70*70)-(66*66*66))+((1/12)*1.6*(66*66*66))</f>
        <v>232596.8</v>
      </c>
      <c r="E298" s="251" t="s">
        <v>563</v>
      </c>
      <c r="F298" s="251"/>
      <c r="G298" s="251"/>
      <c r="H298" s="251"/>
      <c r="I298" s="251"/>
      <c r="J298" s="251"/>
      <c r="K298" s="251"/>
      <c r="L298" s="251"/>
      <c r="M298" s="251"/>
    </row>
    <row r="299" spans="1:13" ht="6.75" hidden="1" customHeight="1" x14ac:dyDescent="0.3">
      <c r="A299" s="251"/>
      <c r="B299" s="251"/>
      <c r="C299" s="251"/>
      <c r="D299" s="251"/>
      <c r="E299" s="251"/>
      <c r="F299" s="251"/>
      <c r="G299" s="251"/>
      <c r="H299" s="251"/>
      <c r="I299" s="251"/>
      <c r="J299" s="251"/>
      <c r="K299" s="251"/>
      <c r="L299" s="251"/>
      <c r="M299" s="251"/>
    </row>
    <row r="300" spans="1:13" ht="18.75" hidden="1" x14ac:dyDescent="0.3">
      <c r="A300" s="251"/>
      <c r="B300" s="320" t="s">
        <v>244</v>
      </c>
      <c r="C300" s="251"/>
      <c r="D300" s="251"/>
      <c r="E300" s="251"/>
      <c r="F300" s="251"/>
      <c r="G300" s="251"/>
      <c r="H300" s="251"/>
      <c r="I300" s="251"/>
      <c r="J300" s="251"/>
      <c r="K300" s="251"/>
      <c r="L300" s="251"/>
      <c r="M300" s="251"/>
    </row>
    <row r="301" spans="1:13" ht="18.75" hidden="1" x14ac:dyDescent="0.3">
      <c r="A301" s="251"/>
      <c r="B301" s="251"/>
      <c r="C301" s="261" t="s">
        <v>134</v>
      </c>
      <c r="D301" s="251" t="s">
        <v>245</v>
      </c>
      <c r="E301" s="251"/>
      <c r="F301" s="251"/>
      <c r="G301" s="251"/>
      <c r="H301" s="251"/>
      <c r="I301" s="251"/>
      <c r="J301" s="251"/>
      <c r="K301" s="251"/>
      <c r="L301" s="251"/>
      <c r="M301" s="251"/>
    </row>
    <row r="302" spans="1:13" ht="6.75" hidden="1" customHeight="1" x14ac:dyDescent="0.3">
      <c r="A302" s="251"/>
      <c r="B302" s="251"/>
      <c r="C302" s="251"/>
      <c r="D302" s="251"/>
      <c r="E302" s="251"/>
      <c r="F302" s="251"/>
      <c r="G302" s="251"/>
      <c r="H302" s="251"/>
      <c r="I302" s="251"/>
      <c r="J302" s="251"/>
      <c r="K302" s="251"/>
      <c r="L302" s="251"/>
      <c r="M302" s="251"/>
    </row>
    <row r="303" spans="1:13" ht="18.75" hidden="1" x14ac:dyDescent="0.3">
      <c r="A303" s="251"/>
      <c r="B303" s="251"/>
      <c r="C303" s="261" t="s">
        <v>134</v>
      </c>
      <c r="D303" s="251">
        <f>(2*420*20+660*16)*1000*1/1000000000*7850</f>
        <v>214.77599999999998</v>
      </c>
      <c r="E303" s="251" t="s">
        <v>246</v>
      </c>
      <c r="F303" s="251"/>
      <c r="G303" s="251"/>
      <c r="H303" s="251"/>
      <c r="I303" s="251"/>
      <c r="J303" s="251"/>
      <c r="K303" s="251"/>
      <c r="L303" s="251"/>
      <c r="M303" s="251"/>
    </row>
    <row r="304" spans="1:13" ht="6.75" hidden="1" customHeight="1" x14ac:dyDescent="0.3">
      <c r="A304" s="251"/>
      <c r="B304" s="251"/>
      <c r="C304" s="251"/>
      <c r="D304" s="251"/>
      <c r="E304" s="251"/>
      <c r="F304" s="251"/>
      <c r="G304" s="251"/>
      <c r="H304" s="251"/>
      <c r="I304" s="251"/>
      <c r="J304" s="251"/>
      <c r="K304" s="251"/>
      <c r="L304" s="251"/>
      <c r="M304" s="251"/>
    </row>
    <row r="305" spans="1:13" ht="18.75" hidden="1" x14ac:dyDescent="0.3">
      <c r="A305" s="251"/>
      <c r="B305" s="251" t="s">
        <v>247</v>
      </c>
      <c r="C305" s="251"/>
      <c r="D305" s="251"/>
      <c r="E305" s="251"/>
      <c r="F305" s="251"/>
      <c r="G305" s="251"/>
      <c r="H305" s="251"/>
      <c r="I305" s="251"/>
      <c r="J305" s="251"/>
      <c r="K305" s="251"/>
      <c r="L305" s="251"/>
      <c r="M305" s="251"/>
    </row>
    <row r="306" spans="1:13" ht="6.75" hidden="1" customHeight="1" x14ac:dyDescent="0.3">
      <c r="A306" s="251"/>
      <c r="B306" s="251"/>
      <c r="C306" s="251"/>
      <c r="D306" s="251"/>
      <c r="E306" s="251"/>
      <c r="F306" s="251"/>
      <c r="G306" s="251"/>
      <c r="H306" s="251"/>
      <c r="I306" s="251"/>
      <c r="J306" s="251"/>
      <c r="K306" s="251"/>
      <c r="L306" s="251"/>
      <c r="M306" s="251"/>
    </row>
    <row r="307" spans="1:13" ht="18.75" hidden="1" x14ac:dyDescent="0.3">
      <c r="A307" s="251"/>
      <c r="B307" s="320" t="s">
        <v>248</v>
      </c>
      <c r="C307" s="261" t="s">
        <v>134</v>
      </c>
      <c r="D307" s="251" t="s">
        <v>249</v>
      </c>
      <c r="E307" s="251"/>
      <c r="F307" s="251"/>
      <c r="G307" s="251"/>
      <c r="H307" s="251"/>
      <c r="I307" s="251"/>
      <c r="J307" s="251"/>
      <c r="K307" s="251"/>
      <c r="L307" s="251"/>
      <c r="M307" s="251"/>
    </row>
    <row r="308" spans="1:13" ht="6.75" hidden="1" customHeight="1" x14ac:dyDescent="0.3">
      <c r="A308" s="251"/>
      <c r="B308" s="251"/>
      <c r="C308" s="251"/>
      <c r="D308" s="251"/>
      <c r="E308" s="251"/>
      <c r="F308" s="251"/>
      <c r="G308" s="251"/>
      <c r="H308" s="251"/>
      <c r="I308" s="251"/>
      <c r="J308" s="251"/>
      <c r="K308" s="251"/>
      <c r="L308" s="251"/>
      <c r="M308" s="251"/>
    </row>
    <row r="309" spans="1:13" ht="18.75" hidden="1" x14ac:dyDescent="0.3">
      <c r="A309" s="251"/>
      <c r="B309" s="251"/>
      <c r="C309" s="261" t="s">
        <v>134</v>
      </c>
      <c r="D309" s="251" t="s">
        <v>564</v>
      </c>
      <c r="E309" s="251"/>
      <c r="F309" s="251"/>
      <c r="G309" s="251"/>
      <c r="H309" s="251"/>
      <c r="I309" s="251"/>
      <c r="J309" s="251"/>
      <c r="K309" s="251"/>
      <c r="L309" s="251"/>
      <c r="M309" s="251"/>
    </row>
    <row r="310" spans="1:13" ht="6.75" hidden="1" customHeight="1" x14ac:dyDescent="0.3">
      <c r="A310" s="251"/>
      <c r="B310" s="251"/>
      <c r="C310" s="251"/>
      <c r="D310" s="251"/>
      <c r="E310" s="251"/>
      <c r="F310" s="251"/>
      <c r="G310" s="251"/>
      <c r="H310" s="251"/>
      <c r="I310" s="251"/>
      <c r="J310" s="251"/>
      <c r="K310" s="251"/>
      <c r="L310" s="251"/>
      <c r="M310" s="251"/>
    </row>
    <row r="311" spans="1:13" ht="18.75" hidden="1" x14ac:dyDescent="0.3">
      <c r="A311" s="251"/>
      <c r="B311" s="251"/>
      <c r="C311" s="261" t="s">
        <v>134</v>
      </c>
      <c r="D311" s="251">
        <v>576.77009999999996</v>
      </c>
      <c r="E311" s="251" t="s">
        <v>250</v>
      </c>
      <c r="F311" s="251"/>
      <c r="G311" s="251"/>
      <c r="H311" s="251"/>
      <c r="I311" s="251"/>
      <c r="J311" s="251"/>
      <c r="K311" s="491"/>
      <c r="L311" s="491"/>
      <c r="M311" s="491"/>
    </row>
    <row r="312" spans="1:13" ht="6.75" hidden="1" customHeight="1" x14ac:dyDescent="0.3">
      <c r="A312" s="251"/>
      <c r="B312" s="251"/>
      <c r="C312" s="251"/>
      <c r="D312" s="251"/>
      <c r="E312" s="251"/>
      <c r="F312" s="251"/>
      <c r="G312" s="251"/>
      <c r="H312" s="251"/>
      <c r="I312" s="251"/>
      <c r="J312" s="251"/>
      <c r="K312" s="251"/>
      <c r="L312" s="251"/>
      <c r="M312" s="251"/>
    </row>
    <row r="313" spans="1:13" ht="18.75" hidden="1" x14ac:dyDescent="0.3">
      <c r="A313" s="251"/>
      <c r="B313" s="251"/>
      <c r="C313" s="261" t="s">
        <v>134</v>
      </c>
      <c r="D313" s="251">
        <f>D311/2</f>
        <v>288.38504999999998</v>
      </c>
      <c r="E313" s="251" t="s">
        <v>251</v>
      </c>
      <c r="F313" s="251"/>
      <c r="G313" s="251"/>
      <c r="H313" s="251"/>
      <c r="I313" s="251"/>
      <c r="J313" s="251"/>
      <c r="K313" s="251"/>
      <c r="L313" s="251"/>
      <c r="M313" s="251"/>
    </row>
    <row r="314" spans="1:13" ht="6.75" hidden="1" customHeight="1" x14ac:dyDescent="0.3">
      <c r="A314" s="251"/>
      <c r="B314" s="251"/>
      <c r="C314" s="251"/>
      <c r="D314" s="251"/>
      <c r="E314" s="251"/>
      <c r="F314" s="251"/>
      <c r="G314" s="251"/>
      <c r="H314" s="251"/>
      <c r="I314" s="251"/>
      <c r="J314" s="251"/>
      <c r="K314" s="251"/>
      <c r="L314" s="251"/>
      <c r="M314" s="251"/>
    </row>
    <row r="315" spans="1:13" ht="18.75" hidden="1" x14ac:dyDescent="0.3">
      <c r="A315" s="251"/>
      <c r="B315" s="251" t="s">
        <v>252</v>
      </c>
      <c r="C315" s="251"/>
      <c r="D315" s="251"/>
      <c r="E315" s="251"/>
      <c r="F315" s="251"/>
      <c r="G315" s="251"/>
      <c r="H315" s="251"/>
      <c r="I315" s="251"/>
      <c r="J315" s="251"/>
      <c r="K315" s="251"/>
      <c r="L315" s="251"/>
      <c r="M315" s="251"/>
    </row>
    <row r="316" spans="1:13" ht="18.75" hidden="1" x14ac:dyDescent="0.3">
      <c r="A316" s="251"/>
      <c r="B316" s="251" t="s">
        <v>253</v>
      </c>
      <c r="C316" s="261" t="s">
        <v>134</v>
      </c>
      <c r="D316" s="251" t="s">
        <v>254</v>
      </c>
      <c r="E316" s="251"/>
      <c r="F316" s="251"/>
      <c r="G316" s="251"/>
      <c r="H316" s="251"/>
      <c r="I316" s="251"/>
      <c r="J316" s="251"/>
      <c r="K316" s="251"/>
      <c r="L316" s="251"/>
      <c r="M316" s="251"/>
    </row>
    <row r="317" spans="1:13" ht="6.75" hidden="1" customHeight="1" x14ac:dyDescent="0.3">
      <c r="A317" s="251"/>
      <c r="B317" s="251"/>
      <c r="C317" s="251"/>
      <c r="D317" s="251"/>
      <c r="E317" s="251"/>
      <c r="F317" s="251"/>
      <c r="G317" s="251"/>
      <c r="H317" s="251"/>
      <c r="I317" s="251"/>
      <c r="J317" s="251"/>
      <c r="K317" s="251"/>
      <c r="L317" s="251"/>
      <c r="M317" s="251"/>
    </row>
    <row r="318" spans="1:13" ht="18.75" hidden="1" x14ac:dyDescent="0.3">
      <c r="A318" s="251"/>
      <c r="B318" s="251"/>
      <c r="C318" s="261" t="s">
        <v>134</v>
      </c>
      <c r="D318" s="251">
        <f>0.707*0.8*505.762*1.25</f>
        <v>357.573734</v>
      </c>
      <c r="E318" s="363" t="s">
        <v>160</v>
      </c>
      <c r="F318" s="487">
        <f>D313</f>
        <v>288.38504999999998</v>
      </c>
      <c r="G318" s="487"/>
      <c r="H318" s="251"/>
      <c r="I318" s="251"/>
      <c r="J318" s="251"/>
      <c r="K318" s="251"/>
      <c r="L318" s="251"/>
      <c r="M318" s="251"/>
    </row>
    <row r="319" spans="1:13" ht="6.75" hidden="1" customHeight="1" x14ac:dyDescent="0.3">
      <c r="A319" s="251"/>
      <c r="B319" s="251"/>
      <c r="C319" s="251"/>
      <c r="D319" s="251"/>
      <c r="E319" s="251"/>
      <c r="F319" s="251"/>
      <c r="G319" s="251"/>
      <c r="H319" s="251"/>
      <c r="I319" s="251"/>
      <c r="J319" s="251"/>
      <c r="K319" s="251"/>
      <c r="L319" s="251"/>
      <c r="M319" s="251"/>
    </row>
    <row r="320" spans="1:13" ht="18.75" hidden="1" x14ac:dyDescent="0.3">
      <c r="A320" s="251"/>
      <c r="B320" s="251"/>
      <c r="C320" s="261" t="s">
        <v>134</v>
      </c>
      <c r="D320" s="319" t="s">
        <v>208</v>
      </c>
      <c r="E320" s="251"/>
      <c r="F320" s="251"/>
      <c r="G320" s="251"/>
      <c r="H320" s="251"/>
      <c r="I320" s="251"/>
      <c r="J320" s="251"/>
      <c r="K320" s="251"/>
      <c r="L320" s="251"/>
      <c r="M320" s="251"/>
    </row>
    <row r="321" spans="1:13" ht="18.75" hidden="1" x14ac:dyDescent="0.3">
      <c r="A321" s="251"/>
      <c r="B321" s="251"/>
      <c r="C321" s="251"/>
      <c r="D321" s="251"/>
      <c r="E321" s="251"/>
      <c r="F321" s="251"/>
      <c r="G321" s="251"/>
      <c r="H321" s="251"/>
      <c r="I321" s="251"/>
      <c r="J321" s="251"/>
      <c r="K321" s="251"/>
      <c r="L321" s="251"/>
      <c r="M321" s="251"/>
    </row>
    <row r="322" spans="1:13" ht="18.75" hidden="1" x14ac:dyDescent="0.3">
      <c r="A322" s="251"/>
      <c r="B322" s="251"/>
      <c r="C322" s="251"/>
      <c r="D322" s="251"/>
      <c r="E322" s="251"/>
      <c r="F322" s="251"/>
      <c r="G322" s="251"/>
      <c r="H322" s="251"/>
      <c r="I322" s="251"/>
      <c r="J322" s="251"/>
      <c r="K322" s="251"/>
      <c r="L322" s="251"/>
      <c r="M322" s="251"/>
    </row>
    <row r="323" spans="1:13" ht="18.75" hidden="1" x14ac:dyDescent="0.3">
      <c r="A323" s="251"/>
      <c r="B323" s="251"/>
      <c r="C323" s="251"/>
      <c r="D323" s="251"/>
      <c r="E323" s="251"/>
      <c r="F323" s="251"/>
      <c r="G323" s="251"/>
      <c r="H323" s="251"/>
      <c r="I323" s="251"/>
      <c r="J323" s="251"/>
      <c r="K323" s="251"/>
      <c r="L323" s="251"/>
      <c r="M323" s="251"/>
    </row>
    <row r="324" spans="1:13" ht="18.75" hidden="1" x14ac:dyDescent="0.3">
      <c r="A324" s="251"/>
      <c r="B324" s="251"/>
      <c r="C324" s="251"/>
      <c r="D324" s="255" t="s">
        <v>255</v>
      </c>
      <c r="E324" s="251"/>
      <c r="F324" s="251"/>
      <c r="G324" s="251"/>
      <c r="H324" s="251"/>
      <c r="I324" s="357" t="s">
        <v>256</v>
      </c>
      <c r="J324" s="251"/>
      <c r="K324" s="251"/>
      <c r="L324" s="251"/>
      <c r="M324" s="251"/>
    </row>
    <row r="325" spans="1:13" ht="18.75" hidden="1" x14ac:dyDescent="0.3">
      <c r="A325" s="251"/>
      <c r="B325" s="251"/>
      <c r="C325" s="251"/>
      <c r="D325" s="255"/>
      <c r="E325" s="251"/>
      <c r="F325" s="251"/>
      <c r="G325" s="251"/>
      <c r="H325" s="251"/>
      <c r="I325" s="359"/>
      <c r="J325" s="251"/>
      <c r="K325" s="251"/>
      <c r="L325" s="251"/>
      <c r="M325" s="251"/>
    </row>
    <row r="326" spans="1:13" ht="18.75" hidden="1" x14ac:dyDescent="0.3">
      <c r="A326" s="251"/>
      <c r="B326" s="251"/>
      <c r="C326" s="251"/>
      <c r="D326" s="251"/>
      <c r="E326" s="251"/>
      <c r="F326" s="251"/>
      <c r="G326" s="251"/>
      <c r="H326" s="251"/>
      <c r="I326" s="251"/>
      <c r="J326" s="251"/>
      <c r="K326" s="251"/>
      <c r="L326" s="251"/>
      <c r="M326" s="251"/>
    </row>
    <row r="327" spans="1:13" ht="18.75" hidden="1" x14ac:dyDescent="0.3">
      <c r="A327" s="251"/>
      <c r="B327" s="251"/>
      <c r="C327" s="251"/>
      <c r="D327" s="251"/>
      <c r="E327" s="251"/>
      <c r="F327" s="251"/>
      <c r="G327" s="251"/>
      <c r="H327" s="251"/>
      <c r="I327" s="251"/>
      <c r="J327" s="251"/>
      <c r="K327" s="251"/>
      <c r="L327" s="251"/>
      <c r="M327" s="251"/>
    </row>
    <row r="328" spans="1:13" ht="18.75" hidden="1" x14ac:dyDescent="0.3">
      <c r="A328" s="251"/>
      <c r="B328" s="251"/>
      <c r="C328" s="251"/>
      <c r="D328" s="251"/>
      <c r="E328" s="251"/>
      <c r="F328" s="251"/>
      <c r="G328" s="251"/>
      <c r="H328" s="251"/>
      <c r="I328" s="251"/>
      <c r="J328" s="251"/>
      <c r="K328" s="251"/>
      <c r="L328" s="251"/>
      <c r="M328" s="251"/>
    </row>
    <row r="329" spans="1:13" ht="18.75" hidden="1" x14ac:dyDescent="0.3">
      <c r="A329" s="251"/>
      <c r="B329" s="251"/>
      <c r="C329" s="251"/>
      <c r="D329" s="255" t="s">
        <v>257</v>
      </c>
      <c r="E329" s="251"/>
      <c r="F329" s="251"/>
      <c r="G329" s="251"/>
      <c r="H329" s="251"/>
      <c r="I329" s="251"/>
      <c r="J329" s="251"/>
      <c r="K329" s="251"/>
      <c r="L329" s="251"/>
      <c r="M329" s="251"/>
    </row>
    <row r="330" spans="1:13" ht="18.75" hidden="1" x14ac:dyDescent="0.3">
      <c r="A330" s="251"/>
      <c r="B330" s="251"/>
      <c r="C330" s="251"/>
      <c r="D330" s="255"/>
      <c r="E330" s="251"/>
      <c r="F330" s="251"/>
      <c r="G330" s="251"/>
      <c r="H330" s="251"/>
      <c r="I330" s="251"/>
      <c r="J330" s="251"/>
      <c r="K330" s="251"/>
      <c r="L330" s="251"/>
      <c r="M330" s="251"/>
    </row>
    <row r="331" spans="1:13" ht="18.75" x14ac:dyDescent="0.3">
      <c r="A331" s="251"/>
      <c r="B331" s="251"/>
      <c r="C331" s="251"/>
      <c r="D331" s="251"/>
      <c r="E331" s="251"/>
      <c r="F331" s="251"/>
      <c r="G331" s="251"/>
      <c r="H331" s="251"/>
      <c r="I331" s="308"/>
      <c r="J331" s="319"/>
      <c r="K331" s="327"/>
      <c r="L331" s="251"/>
      <c r="M331" s="251"/>
    </row>
    <row r="332" spans="1:13" ht="18.75" x14ac:dyDescent="0.3">
      <c r="A332" s="251"/>
      <c r="B332" s="251" t="s">
        <v>210</v>
      </c>
      <c r="C332" s="308" t="s">
        <v>134</v>
      </c>
      <c r="D332" s="287">
        <f>F238</f>
        <v>207.7715</v>
      </c>
      <c r="E332" s="312" t="s">
        <v>171</v>
      </c>
      <c r="F332" s="284">
        <v>100000</v>
      </c>
      <c r="G332" s="251"/>
      <c r="H332" s="251"/>
      <c r="I332" s="308" t="s">
        <v>134</v>
      </c>
      <c r="J332" s="251"/>
      <c r="K332" s="326">
        <f>D332*F332/D333</f>
        <v>10073.769696969697</v>
      </c>
      <c r="L332" s="251" t="s">
        <v>211</v>
      </c>
      <c r="M332" s="251"/>
    </row>
    <row r="333" spans="1:13" ht="18.75" x14ac:dyDescent="0.3">
      <c r="A333" s="251"/>
      <c r="B333" s="251"/>
      <c r="C333" s="251"/>
      <c r="D333" s="482">
        <f>I251</f>
        <v>2062.5</v>
      </c>
      <c r="E333" s="483"/>
      <c r="F333" s="483"/>
      <c r="G333" s="251"/>
      <c r="H333" s="251"/>
      <c r="I333" s="251"/>
      <c r="J333" s="251"/>
      <c r="K333" s="319"/>
      <c r="L333" s="251"/>
      <c r="M333" s="251"/>
    </row>
    <row r="334" spans="1:13" ht="18.75" x14ac:dyDescent="0.3">
      <c r="A334" s="251"/>
      <c r="B334" s="251"/>
      <c r="C334" s="251"/>
      <c r="D334" s="251"/>
      <c r="E334" s="251"/>
      <c r="F334" s="251"/>
      <c r="G334" s="251"/>
      <c r="H334" s="251"/>
      <c r="I334" s="308" t="s">
        <v>207</v>
      </c>
      <c r="J334" s="486">
        <f>H246</f>
        <v>10705.395</v>
      </c>
      <c r="K334" s="486"/>
      <c r="L334" s="251" t="s">
        <v>211</v>
      </c>
      <c r="M334" s="251"/>
    </row>
    <row r="335" spans="1:13" ht="18.75" x14ac:dyDescent="0.3">
      <c r="A335" s="251"/>
      <c r="B335" s="251"/>
      <c r="C335" s="251"/>
      <c r="D335" s="251"/>
      <c r="E335" s="251"/>
      <c r="F335" s="251"/>
      <c r="G335" s="251"/>
      <c r="H335" s="251"/>
      <c r="I335" s="261"/>
      <c r="J335" s="251"/>
      <c r="K335" s="319"/>
      <c r="L335" s="251"/>
      <c r="M335" s="251"/>
    </row>
    <row r="336" spans="1:13" ht="18.75" x14ac:dyDescent="0.3">
      <c r="A336" s="251"/>
      <c r="B336" s="251"/>
      <c r="C336" s="251"/>
      <c r="D336" s="251"/>
      <c r="E336" s="251"/>
      <c r="F336" s="251"/>
      <c r="G336" s="251"/>
      <c r="H336" s="251"/>
      <c r="I336" s="308" t="s">
        <v>134</v>
      </c>
      <c r="J336" s="319" t="s">
        <v>208</v>
      </c>
      <c r="K336" s="327"/>
      <c r="L336" s="251"/>
      <c r="M336" s="251"/>
    </row>
    <row r="337" spans="1:18" ht="18.75" x14ac:dyDescent="0.3">
      <c r="A337" s="251"/>
      <c r="B337" s="251"/>
      <c r="C337" s="251"/>
      <c r="D337" s="251"/>
      <c r="E337" s="251"/>
      <c r="F337" s="251"/>
      <c r="G337" s="251"/>
      <c r="H337" s="251"/>
      <c r="I337" s="251"/>
      <c r="J337" s="251"/>
      <c r="K337" s="251"/>
      <c r="L337" s="251"/>
      <c r="M337" s="251"/>
    </row>
    <row r="338" spans="1:18" ht="18.75" x14ac:dyDescent="0.3">
      <c r="A338" s="251"/>
      <c r="B338" s="251"/>
      <c r="C338" s="251"/>
      <c r="D338" s="251"/>
      <c r="E338" s="251"/>
      <c r="F338" s="251"/>
      <c r="G338" s="251"/>
      <c r="H338" s="251"/>
      <c r="I338" s="251"/>
      <c r="J338" s="251"/>
      <c r="K338" s="251"/>
      <c r="L338" s="251"/>
      <c r="M338" s="251"/>
      <c r="R338" s="82" t="s">
        <v>258</v>
      </c>
    </row>
    <row r="339" spans="1:18" ht="18.75" x14ac:dyDescent="0.3">
      <c r="A339" s="319"/>
      <c r="B339" s="526" t="s">
        <v>293</v>
      </c>
      <c r="C339" s="526"/>
      <c r="D339" s="526"/>
      <c r="E339" s="526"/>
      <c r="F339" s="526"/>
      <c r="G339" s="526"/>
      <c r="H339" s="526"/>
      <c r="I339" s="526"/>
      <c r="J339" s="526"/>
      <c r="K339" s="526"/>
      <c r="L339" s="251"/>
      <c r="M339" s="251"/>
    </row>
    <row r="340" spans="1:18" s="102" customFormat="1" ht="18.75" x14ac:dyDescent="0.3">
      <c r="A340" s="474" t="s">
        <v>279</v>
      </c>
      <c r="B340" s="474"/>
      <c r="C340" s="474"/>
      <c r="D340" s="474"/>
      <c r="E340" s="474"/>
      <c r="F340" s="474"/>
      <c r="G340" s="474"/>
      <c r="H340" s="474" t="s">
        <v>299</v>
      </c>
      <c r="I340" s="474"/>
      <c r="J340" s="266"/>
      <c r="K340" s="489" t="s">
        <v>298</v>
      </c>
      <c r="L340" s="489"/>
      <c r="M340" s="263"/>
    </row>
    <row r="341" spans="1:18" s="102" customFormat="1" ht="18.75" x14ac:dyDescent="0.3">
      <c r="A341" s="263">
        <v>1</v>
      </c>
      <c r="B341" s="475" t="s">
        <v>294</v>
      </c>
      <c r="C341" s="475"/>
      <c r="D341" s="475"/>
      <c r="E341" s="475"/>
      <c r="F341" s="475"/>
      <c r="G341" s="475"/>
      <c r="H341" s="481">
        <f>D26</f>
        <v>1108.1076720000001</v>
      </c>
      <c r="I341" s="481"/>
      <c r="J341" s="364" t="s">
        <v>160</v>
      </c>
      <c r="K341" s="485">
        <f>F69</f>
        <v>1059.819</v>
      </c>
      <c r="L341" s="485"/>
      <c r="M341" s="365">
        <f>H341-K341</f>
        <v>48.288672000000133</v>
      </c>
      <c r="O341" s="102">
        <f>666.19*1.25</f>
        <v>832.73750000000007</v>
      </c>
    </row>
    <row r="342" spans="1:18" s="102" customFormat="1" ht="18.75" x14ac:dyDescent="0.3">
      <c r="A342" s="263"/>
      <c r="B342" s="366"/>
      <c r="C342" s="366"/>
      <c r="D342" s="366"/>
      <c r="E342" s="366"/>
      <c r="F342" s="366"/>
      <c r="G342" s="366"/>
      <c r="H342" s="367"/>
      <c r="I342" s="367"/>
      <c r="J342" s="364"/>
      <c r="K342" s="368"/>
      <c r="L342" s="368"/>
      <c r="M342" s="263"/>
    </row>
    <row r="343" spans="1:18" s="102" customFormat="1" ht="18.75" x14ac:dyDescent="0.3">
      <c r="A343" s="263"/>
      <c r="B343" s="366"/>
      <c r="C343" s="366"/>
      <c r="D343" s="366"/>
      <c r="E343" s="366"/>
      <c r="F343" s="366"/>
      <c r="G343" s="366"/>
      <c r="H343" s="474" t="s">
        <v>299</v>
      </c>
      <c r="I343" s="474"/>
      <c r="J343" s="266"/>
      <c r="K343" s="474" t="s">
        <v>300</v>
      </c>
      <c r="L343" s="474"/>
      <c r="M343" s="263"/>
    </row>
    <row r="344" spans="1:18" s="102" customFormat="1" ht="18.75" x14ac:dyDescent="0.3">
      <c r="A344" s="263">
        <v>2</v>
      </c>
      <c r="B344" s="475" t="s">
        <v>295</v>
      </c>
      <c r="C344" s="475"/>
      <c r="D344" s="475"/>
      <c r="E344" s="475"/>
      <c r="F344" s="475"/>
      <c r="G344" s="475"/>
      <c r="H344" s="481">
        <f>K139</f>
        <v>10683.636363636362</v>
      </c>
      <c r="I344" s="481"/>
      <c r="J344" s="364" t="s">
        <v>207</v>
      </c>
      <c r="K344" s="481">
        <f>J141</f>
        <v>10705.395</v>
      </c>
      <c r="L344" s="481"/>
      <c r="M344" s="369">
        <f>K344-H344</f>
        <v>21.758636363638288</v>
      </c>
    </row>
    <row r="345" spans="1:18" s="102" customFormat="1" ht="18.75" x14ac:dyDescent="0.3">
      <c r="A345" s="263">
        <v>3</v>
      </c>
      <c r="B345" s="475" t="s">
        <v>296</v>
      </c>
      <c r="C345" s="475"/>
      <c r="D345" s="475"/>
      <c r="E345" s="475"/>
      <c r="F345" s="475"/>
      <c r="G345" s="475"/>
      <c r="H345" s="481">
        <f>K332</f>
        <v>10073.769696969697</v>
      </c>
      <c r="I345" s="481"/>
      <c r="J345" s="364" t="s">
        <v>207</v>
      </c>
      <c r="K345" s="481">
        <f>J334</f>
        <v>10705.395</v>
      </c>
      <c r="L345" s="481"/>
      <c r="M345" s="369">
        <f t="shared" ref="M345:M346" si="2">K345-H345</f>
        <v>631.62530303030326</v>
      </c>
    </row>
    <row r="346" spans="1:18" ht="18.75" x14ac:dyDescent="0.3">
      <c r="A346" s="263">
        <v>4</v>
      </c>
      <c r="B346" s="475" t="s">
        <v>297</v>
      </c>
      <c r="C346" s="475"/>
      <c r="D346" s="475"/>
      <c r="E346" s="475"/>
      <c r="F346" s="475"/>
      <c r="G346" s="475"/>
      <c r="H346" s="481">
        <f>K197</f>
        <v>953.00470638699505</v>
      </c>
      <c r="I346" s="481"/>
      <c r="J346" s="364" t="s">
        <v>207</v>
      </c>
      <c r="K346" s="481">
        <f>J199</f>
        <v>1350.7</v>
      </c>
      <c r="L346" s="481"/>
      <c r="M346" s="369">
        <f t="shared" si="2"/>
        <v>397.69529361300499</v>
      </c>
    </row>
    <row r="347" spans="1:18" s="102" customFormat="1" ht="18.75" x14ac:dyDescent="0.3">
      <c r="A347" s="263"/>
      <c r="B347" s="264"/>
      <c r="C347" s="265"/>
      <c r="D347" s="265"/>
      <c r="E347" s="265"/>
      <c r="F347" s="265"/>
      <c r="G347" s="265"/>
      <c r="H347" s="265"/>
      <c r="I347" s="265"/>
      <c r="J347" s="266"/>
      <c r="K347" s="266"/>
      <c r="L347" s="266"/>
      <c r="M347" s="263"/>
    </row>
    <row r="348" spans="1:18" s="102" customFormat="1" ht="15.75" x14ac:dyDescent="0.25">
      <c r="B348" s="101"/>
      <c r="C348" s="103"/>
      <c r="D348" s="103"/>
      <c r="E348" s="103"/>
      <c r="F348" s="103"/>
      <c r="G348" s="103"/>
      <c r="H348" s="103"/>
      <c r="I348" s="103"/>
      <c r="J348" s="100"/>
      <c r="K348" s="100"/>
      <c r="L348" s="100"/>
    </row>
    <row r="349" spans="1:18" s="102" customFormat="1" ht="15.75" x14ac:dyDescent="0.25">
      <c r="B349" s="101"/>
      <c r="C349" s="103"/>
      <c r="D349" s="103"/>
      <c r="E349" s="103"/>
      <c r="F349" s="103"/>
      <c r="G349" s="103"/>
      <c r="H349" s="103"/>
      <c r="I349" s="103"/>
      <c r="J349" s="100"/>
      <c r="K349" s="100"/>
      <c r="L349" s="100"/>
    </row>
    <row r="350" spans="1:18" s="102" customFormat="1" ht="15.75" x14ac:dyDescent="0.25">
      <c r="B350" s="103"/>
      <c r="C350" s="103"/>
      <c r="D350" s="103"/>
      <c r="E350" s="103"/>
      <c r="F350" s="103"/>
      <c r="G350" s="103"/>
      <c r="H350" s="103"/>
      <c r="I350" s="103"/>
      <c r="J350" s="103"/>
      <c r="K350" s="103"/>
      <c r="L350" s="103"/>
    </row>
    <row r="351" spans="1:18" s="102" customFormat="1" ht="15.75" x14ac:dyDescent="0.25">
      <c r="B351" s="101"/>
      <c r="C351" s="103"/>
      <c r="D351" s="103"/>
      <c r="E351" s="103"/>
      <c r="F351" s="103"/>
      <c r="G351" s="103"/>
      <c r="H351" s="103"/>
      <c r="I351" s="103"/>
      <c r="J351" s="100"/>
      <c r="K351" s="100"/>
      <c r="L351" s="100"/>
    </row>
    <row r="352" spans="1:18" s="102" customFormat="1" ht="15.75" x14ac:dyDescent="0.25">
      <c r="B352" s="101"/>
      <c r="C352" s="103"/>
      <c r="D352" s="103"/>
      <c r="E352" s="103"/>
      <c r="F352" s="103"/>
      <c r="G352" s="103"/>
      <c r="H352" s="103"/>
      <c r="I352" s="103"/>
      <c r="J352" s="100"/>
      <c r="K352" s="100"/>
      <c r="L352" s="100"/>
    </row>
    <row r="353" spans="2:12" s="102" customFormat="1" ht="15.75" x14ac:dyDescent="0.25">
      <c r="B353" s="103"/>
      <c r="C353" s="103"/>
      <c r="D353" s="103"/>
      <c r="E353" s="103"/>
      <c r="F353" s="103"/>
      <c r="G353" s="103"/>
      <c r="H353" s="103"/>
      <c r="I353" s="103"/>
      <c r="J353" s="103"/>
      <c r="K353" s="103"/>
      <c r="L353" s="103"/>
    </row>
    <row r="354" spans="2:12" s="102" customFormat="1" ht="15.75" x14ac:dyDescent="0.25">
      <c r="B354" s="101"/>
      <c r="C354" s="103"/>
      <c r="D354" s="103"/>
      <c r="E354" s="103"/>
      <c r="F354" s="103"/>
      <c r="G354" s="103"/>
      <c r="H354" s="103"/>
      <c r="I354" s="103"/>
      <c r="J354" s="100"/>
      <c r="K354" s="100"/>
      <c r="L354" s="100"/>
    </row>
    <row r="355" spans="2:12" s="102" customFormat="1" ht="15.75" x14ac:dyDescent="0.25">
      <c r="B355" s="484"/>
      <c r="C355" s="484"/>
      <c r="D355" s="484"/>
      <c r="E355" s="103"/>
      <c r="F355" s="103"/>
      <c r="G355" s="103"/>
      <c r="H355" s="103"/>
      <c r="I355" s="103"/>
      <c r="J355" s="484"/>
      <c r="K355" s="484"/>
      <c r="L355" s="484"/>
    </row>
    <row r="356" spans="2:12" s="102" customFormat="1" ht="15.75" x14ac:dyDescent="0.25">
      <c r="B356" s="473"/>
      <c r="C356" s="473"/>
      <c r="D356" s="473"/>
      <c r="E356" s="103"/>
      <c r="F356" s="103"/>
      <c r="G356" s="103"/>
      <c r="H356" s="103"/>
      <c r="I356" s="103"/>
      <c r="J356" s="473"/>
      <c r="K356" s="473"/>
      <c r="L356" s="473"/>
    </row>
    <row r="357" spans="2:12" s="102" customFormat="1" ht="15.75" x14ac:dyDescent="0.25">
      <c r="B357" s="473"/>
      <c r="C357" s="473"/>
      <c r="D357" s="473"/>
      <c r="E357" s="103"/>
      <c r="F357" s="103"/>
      <c r="G357" s="101"/>
      <c r="H357" s="103"/>
      <c r="I357" s="103"/>
      <c r="J357" s="473"/>
      <c r="K357" s="473"/>
      <c r="L357" s="473"/>
    </row>
    <row r="358" spans="2:12" s="102" customFormat="1" ht="15.75" x14ac:dyDescent="0.25">
      <c r="E358" s="103"/>
      <c r="F358" s="103"/>
      <c r="G358" s="101"/>
      <c r="H358" s="103"/>
      <c r="I358" s="103"/>
      <c r="J358" s="103"/>
    </row>
    <row r="359" spans="2:12" s="102" customFormat="1" ht="15.75" x14ac:dyDescent="0.25">
      <c r="E359" s="103"/>
      <c r="F359" s="103"/>
      <c r="G359" s="101"/>
      <c r="H359" s="103"/>
      <c r="I359" s="103"/>
      <c r="J359" s="103"/>
    </row>
    <row r="360" spans="2:12" s="102" customFormat="1" ht="15.75" x14ac:dyDescent="0.25">
      <c r="D360" s="473"/>
      <c r="E360" s="473"/>
      <c r="F360" s="473"/>
      <c r="G360" s="473"/>
      <c r="H360" s="473"/>
      <c r="I360" s="473"/>
      <c r="J360" s="473"/>
    </row>
  </sheetData>
  <mergeCells count="130">
    <mergeCell ref="B357:D357"/>
    <mergeCell ref="B356:D356"/>
    <mergeCell ref="B355:D355"/>
    <mergeCell ref="B32:D32"/>
    <mergeCell ref="N48:N49"/>
    <mergeCell ref="C247:C248"/>
    <mergeCell ref="D248:G248"/>
    <mergeCell ref="G93:G94"/>
    <mergeCell ref="D180:F180"/>
    <mergeCell ref="H174:H175"/>
    <mergeCell ref="I174:I175"/>
    <mergeCell ref="B339:K339"/>
    <mergeCell ref="B177:B178"/>
    <mergeCell ref="C177:C178"/>
    <mergeCell ref="D100:F100"/>
    <mergeCell ref="H100:K100"/>
    <mergeCell ref="F101:G101"/>
    <mergeCell ref="D120:H120"/>
    <mergeCell ref="D140:F140"/>
    <mergeCell ref="H80:I80"/>
    <mergeCell ref="D56:F56"/>
    <mergeCell ref="N43:N45"/>
    <mergeCell ref="N46:N47"/>
    <mergeCell ref="B182:B183"/>
    <mergeCell ref="N22:N24"/>
    <mergeCell ref="N25:N26"/>
    <mergeCell ref="N27:N28"/>
    <mergeCell ref="P31:Q31"/>
    <mergeCell ref="D16:E16"/>
    <mergeCell ref="B31:D31"/>
    <mergeCell ref="B30:D30"/>
    <mergeCell ref="J30:L30"/>
    <mergeCell ref="J31:L31"/>
    <mergeCell ref="A2:B2"/>
    <mergeCell ref="C2:K2"/>
    <mergeCell ref="B4:K4"/>
    <mergeCell ref="D11:I11"/>
    <mergeCell ref="F14:I14"/>
    <mergeCell ref="B27:J27"/>
    <mergeCell ref="B110:L110"/>
    <mergeCell ref="D126:E126"/>
    <mergeCell ref="D127:E127"/>
    <mergeCell ref="A36:B36"/>
    <mergeCell ref="C36:K36"/>
    <mergeCell ref="E21:F21"/>
    <mergeCell ref="H21:K21"/>
    <mergeCell ref="J32:L32"/>
    <mergeCell ref="B37:K37"/>
    <mergeCell ref="B45:D45"/>
    <mergeCell ref="D116:E116"/>
    <mergeCell ref="D117:E117"/>
    <mergeCell ref="K102:L102"/>
    <mergeCell ref="D57:F57"/>
    <mergeCell ref="D58:F58"/>
    <mergeCell ref="D59:F59"/>
    <mergeCell ref="D136:E136"/>
    <mergeCell ref="D137:E137"/>
    <mergeCell ref="B341:G341"/>
    <mergeCell ref="P52:Q52"/>
    <mergeCell ref="C40:L40"/>
    <mergeCell ref="C42:L42"/>
    <mergeCell ref="G163:G164"/>
    <mergeCell ref="E61:F61"/>
    <mergeCell ref="E67:G67"/>
    <mergeCell ref="G79:G80"/>
    <mergeCell ref="J141:K141"/>
    <mergeCell ref="H93:H94"/>
    <mergeCell ref="I93:I94"/>
    <mergeCell ref="J93:J94"/>
    <mergeCell ref="B98:B99"/>
    <mergeCell ref="C98:C99"/>
    <mergeCell ref="D99:F99"/>
    <mergeCell ref="B93:B94"/>
    <mergeCell ref="C93:C94"/>
    <mergeCell ref="E93:E94"/>
    <mergeCell ref="F93:F94"/>
    <mergeCell ref="B174:B175"/>
    <mergeCell ref="C182:C183"/>
    <mergeCell ref="C174:C175"/>
    <mergeCell ref="E174:E175"/>
    <mergeCell ref="F174:F175"/>
    <mergeCell ref="G174:G175"/>
    <mergeCell ref="J174:K175"/>
    <mergeCell ref="K311:M311"/>
    <mergeCell ref="H229:H230"/>
    <mergeCell ref="I229:I230"/>
    <mergeCell ref="J229:K230"/>
    <mergeCell ref="B232:B233"/>
    <mergeCell ref="D178:F178"/>
    <mergeCell ref="C238:D238"/>
    <mergeCell ref="C239:D239"/>
    <mergeCell ref="G221:G222"/>
    <mergeCell ref="D183:F183"/>
    <mergeCell ref="D198:F198"/>
    <mergeCell ref="J199:K199"/>
    <mergeCell ref="C229:C230"/>
    <mergeCell ref="E229:E230"/>
    <mergeCell ref="J334:K334"/>
    <mergeCell ref="B247:B248"/>
    <mergeCell ref="F318:G318"/>
    <mergeCell ref="B344:G344"/>
    <mergeCell ref="B229:B230"/>
    <mergeCell ref="B241:L241"/>
    <mergeCell ref="F229:F230"/>
    <mergeCell ref="G229:G230"/>
    <mergeCell ref="K340:L340"/>
    <mergeCell ref="D360:J360"/>
    <mergeCell ref="H343:I343"/>
    <mergeCell ref="K343:L343"/>
    <mergeCell ref="B345:G345"/>
    <mergeCell ref="B346:G346"/>
    <mergeCell ref="A340:G340"/>
    <mergeCell ref="F232:G232"/>
    <mergeCell ref="H232:H233"/>
    <mergeCell ref="C232:C233"/>
    <mergeCell ref="D232:D233"/>
    <mergeCell ref="E232:E233"/>
    <mergeCell ref="H341:I341"/>
    <mergeCell ref="H344:I344"/>
    <mergeCell ref="H345:I345"/>
    <mergeCell ref="H346:I346"/>
    <mergeCell ref="D333:F333"/>
    <mergeCell ref="K345:L345"/>
    <mergeCell ref="K346:L346"/>
    <mergeCell ref="J355:L355"/>
    <mergeCell ref="K341:L341"/>
    <mergeCell ref="K344:L344"/>
    <mergeCell ref="H340:I340"/>
    <mergeCell ref="J356:L356"/>
    <mergeCell ref="J357:L357"/>
  </mergeCells>
  <conditionalFormatting sqref="O22">
    <cfRule type="cellIs" dxfId="13" priority="6" operator="greaterThan">
      <formula>$P$43</formula>
    </cfRule>
  </conditionalFormatting>
  <conditionalFormatting sqref="O23">
    <cfRule type="cellIs" dxfId="12" priority="7" operator="greaterThan">
      <formula>$P$44</formula>
    </cfRule>
  </conditionalFormatting>
  <conditionalFormatting sqref="O24">
    <cfRule type="cellIs" dxfId="11" priority="5" operator="greaterThan">
      <formula>$P$45</formula>
    </cfRule>
  </conditionalFormatting>
  <conditionalFormatting sqref="O25">
    <cfRule type="cellIs" dxfId="10" priority="4" operator="greaterThan">
      <formula>$P$46</formula>
    </cfRule>
  </conditionalFormatting>
  <conditionalFormatting sqref="O26">
    <cfRule type="cellIs" dxfId="9" priority="3" operator="greaterThan">
      <formula>$P$47</formula>
    </cfRule>
  </conditionalFormatting>
  <conditionalFormatting sqref="O27">
    <cfRule type="cellIs" dxfId="8" priority="2" operator="greaterThan">
      <formula>$P$48</formula>
    </cfRule>
  </conditionalFormatting>
  <conditionalFormatting sqref="O28">
    <cfRule type="cellIs" dxfId="7" priority="1" operator="greaterThan">
      <formula>$P$49</formula>
    </cfRule>
  </conditionalFormatting>
  <conditionalFormatting sqref="O43">
    <cfRule type="cellIs" dxfId="6" priority="13" operator="greaterThan">
      <formula>$P$43</formula>
    </cfRule>
  </conditionalFormatting>
  <conditionalFormatting sqref="O44">
    <cfRule type="cellIs" dxfId="5" priority="14" operator="greaterThan">
      <formula>$P$44</formula>
    </cfRule>
  </conditionalFormatting>
  <conditionalFormatting sqref="O45">
    <cfRule type="cellIs" dxfId="4" priority="12" operator="greaterThan">
      <formula>$P$45</formula>
    </cfRule>
  </conditionalFormatting>
  <conditionalFormatting sqref="O46">
    <cfRule type="cellIs" dxfId="3" priority="11" operator="greaterThan">
      <formula>$P$46</formula>
    </cfRule>
  </conditionalFormatting>
  <conditionalFormatting sqref="O47">
    <cfRule type="cellIs" dxfId="2" priority="10" operator="greaterThan">
      <formula>$P$47</formula>
    </cfRule>
  </conditionalFormatting>
  <conditionalFormatting sqref="O48">
    <cfRule type="cellIs" dxfId="1" priority="9" operator="greaterThan">
      <formula>$P$48</formula>
    </cfRule>
  </conditionalFormatting>
  <conditionalFormatting sqref="O49">
    <cfRule type="cellIs" dxfId="0" priority="8" operator="greaterThan">
      <formula>$P$49</formula>
    </cfRule>
  </conditionalFormatting>
  <pageMargins left="0.7" right="0.7" top="0.75" bottom="0.75" header="0.3" footer="0.3"/>
  <pageSetup paperSize="9" scale="65" fitToHeight="0" orientation="portrait" r:id="rId1"/>
  <rowBreaks count="5" manualBreakCount="5">
    <brk id="35" max="11" man="1"/>
    <brk id="86" max="11" man="1"/>
    <brk id="144" max="11" man="1"/>
    <brk id="181" max="11" man="1"/>
    <brk id="240" max="11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26"/>
  <sheetViews>
    <sheetView topLeftCell="A13" workbookViewId="0">
      <selection activeCell="C27" sqref="C27"/>
    </sheetView>
  </sheetViews>
  <sheetFormatPr defaultColWidth="8.85546875" defaultRowHeight="15" x14ac:dyDescent="0.25"/>
  <cols>
    <col min="1" max="1" width="14.28515625" style="41" customWidth="1"/>
    <col min="2" max="2" width="38.28515625" style="41" customWidth="1"/>
    <col min="3" max="4" width="8.85546875" style="41"/>
    <col min="5" max="5" width="3.42578125" style="41" customWidth="1"/>
    <col min="6" max="6" width="10.5703125" style="41" customWidth="1"/>
    <col min="7" max="16384" width="8.85546875" style="41"/>
  </cols>
  <sheetData>
    <row r="2" spans="1:6" ht="37.9" customHeight="1" x14ac:dyDescent="0.25">
      <c r="A2" s="184" t="s">
        <v>435</v>
      </c>
      <c r="B2" s="535" t="str">
        <f>'Skin Friction'!E3</f>
        <v>Construction of High Level Bridge across Cauvery river ar km 315/6-316/2 of Chennai- Trichy-Dindugal road (SHU-9) in between Trichy and Srirangam</v>
      </c>
      <c r="C2" s="535"/>
      <c r="D2" s="535"/>
      <c r="E2" s="535"/>
      <c r="F2" s="535"/>
    </row>
    <row r="3" spans="1:6" ht="17.45" customHeight="1" x14ac:dyDescent="0.25">
      <c r="A3" s="47"/>
      <c r="B3" s="46"/>
      <c r="C3" s="46"/>
      <c r="D3" s="46"/>
      <c r="E3" s="46"/>
      <c r="F3" s="46"/>
    </row>
    <row r="4" spans="1:6" ht="22.15" customHeight="1" x14ac:dyDescent="0.25">
      <c r="B4" s="534" t="s">
        <v>426</v>
      </c>
      <c r="C4" s="534"/>
      <c r="D4" s="534"/>
    </row>
    <row r="6" spans="1:6" ht="25.9" customHeight="1" x14ac:dyDescent="0.25">
      <c r="B6" s="46" t="s">
        <v>422</v>
      </c>
      <c r="C6" s="41" t="s">
        <v>192</v>
      </c>
      <c r="D6" s="41">
        <v>4210</v>
      </c>
    </row>
    <row r="7" spans="1:6" ht="25.9" customHeight="1" x14ac:dyDescent="0.25">
      <c r="B7" s="46" t="s">
        <v>424</v>
      </c>
      <c r="C7" s="41" t="s">
        <v>192</v>
      </c>
      <c r="D7" s="182">
        <v>17</v>
      </c>
    </row>
    <row r="8" spans="1:6" ht="25.9" customHeight="1" x14ac:dyDescent="0.25">
      <c r="B8" s="46" t="s">
        <v>425</v>
      </c>
      <c r="C8" s="41" t="s">
        <v>192</v>
      </c>
      <c r="D8" s="182">
        <v>15</v>
      </c>
    </row>
    <row r="9" spans="1:6" ht="25.9" customHeight="1" x14ac:dyDescent="0.25">
      <c r="B9" s="180" t="s">
        <v>423</v>
      </c>
      <c r="C9" s="47" t="s">
        <v>192</v>
      </c>
      <c r="D9" s="181">
        <f>22/7*D8*D8*D7/4</f>
        <v>3005.3571428571427</v>
      </c>
    </row>
    <row r="10" spans="1:6" ht="25.9" customHeight="1" x14ac:dyDescent="0.25">
      <c r="B10" s="46" t="s">
        <v>428</v>
      </c>
      <c r="C10" s="41" t="s">
        <v>192</v>
      </c>
      <c r="D10" s="41">
        <v>8878</v>
      </c>
    </row>
    <row r="11" spans="1:6" ht="25.9" customHeight="1" x14ac:dyDescent="0.25">
      <c r="B11" s="46" t="s">
        <v>427</v>
      </c>
      <c r="C11" s="41" t="s">
        <v>192</v>
      </c>
      <c r="D11" s="41">
        <v>9235</v>
      </c>
    </row>
    <row r="12" spans="1:6" ht="25.9" customHeight="1" x14ac:dyDescent="0.25">
      <c r="B12" s="46" t="s">
        <v>429</v>
      </c>
      <c r="C12" s="41" t="s">
        <v>192</v>
      </c>
      <c r="D12" s="41">
        <f>D10-D6</f>
        <v>4668</v>
      </c>
    </row>
    <row r="13" spans="1:6" ht="25.9" customHeight="1" x14ac:dyDescent="0.25">
      <c r="B13" s="46" t="s">
        <v>430</v>
      </c>
      <c r="C13" s="41" t="s">
        <v>192</v>
      </c>
      <c r="D13" s="41">
        <f>D11-D6</f>
        <v>5025</v>
      </c>
    </row>
    <row r="14" spans="1:6" ht="25.9" customHeight="1" x14ac:dyDescent="0.25">
      <c r="B14" s="180" t="s">
        <v>431</v>
      </c>
      <c r="C14" s="47" t="s">
        <v>192</v>
      </c>
      <c r="D14" s="47">
        <f>AVERAGE(D12:D13)</f>
        <v>4846.5</v>
      </c>
    </row>
    <row r="15" spans="1:6" ht="25.9" customHeight="1" x14ac:dyDescent="0.25">
      <c r="B15" s="46" t="s">
        <v>432</v>
      </c>
      <c r="C15" s="41" t="s">
        <v>192</v>
      </c>
      <c r="D15" s="122">
        <f>D14/D9</f>
        <v>1.6126203208556151</v>
      </c>
    </row>
    <row r="16" spans="1:6" ht="25.9" customHeight="1" x14ac:dyDescent="0.25">
      <c r="B16" s="180" t="s">
        <v>433</v>
      </c>
      <c r="C16" s="47" t="s">
        <v>192</v>
      </c>
      <c r="D16" s="183">
        <f>D15*1000</f>
        <v>1612.6203208556151</v>
      </c>
      <c r="E16" s="41" t="s">
        <v>160</v>
      </c>
      <c r="F16" s="47" t="s">
        <v>434</v>
      </c>
    </row>
    <row r="17" spans="1:6" ht="21.6" customHeight="1" x14ac:dyDescent="0.25"/>
    <row r="21" spans="1:6" s="21" customFormat="1" ht="15.6" customHeight="1" x14ac:dyDescent="0.25">
      <c r="A21" s="140" t="s">
        <v>413</v>
      </c>
      <c r="B21" s="140"/>
      <c r="C21" s="533"/>
      <c r="D21" s="533"/>
      <c r="E21" s="533" t="s">
        <v>414</v>
      </c>
      <c r="F21" s="533"/>
    </row>
    <row r="22" spans="1:6" s="21" customFormat="1" ht="15.6" customHeight="1" x14ac:dyDescent="0.25">
      <c r="A22" s="140" t="s">
        <v>282</v>
      </c>
      <c r="B22" s="140"/>
      <c r="C22" s="533"/>
      <c r="D22" s="533"/>
      <c r="E22" s="533" t="s">
        <v>282</v>
      </c>
      <c r="F22" s="533"/>
    </row>
    <row r="23" spans="1:6" s="21" customFormat="1" ht="15.6" customHeight="1" x14ac:dyDescent="0.25">
      <c r="A23" s="140" t="s">
        <v>446</v>
      </c>
      <c r="B23" s="140"/>
      <c r="C23" s="533"/>
      <c r="D23" s="533"/>
      <c r="E23" s="533" t="s">
        <v>446</v>
      </c>
      <c r="F23" s="533"/>
    </row>
    <row r="24" spans="1:6" s="21" customFormat="1" ht="15.75" x14ac:dyDescent="0.25">
      <c r="A24" s="533" t="s">
        <v>259</v>
      </c>
      <c r="B24" s="533"/>
      <c r="C24" s="533"/>
      <c r="D24" s="533"/>
      <c r="E24" s="533"/>
      <c r="F24" s="533"/>
    </row>
    <row r="25" spans="1:6" s="21" customFormat="1" ht="15.75" x14ac:dyDescent="0.25">
      <c r="A25" s="533" t="s">
        <v>282</v>
      </c>
      <c r="B25" s="533"/>
      <c r="C25" s="533"/>
      <c r="D25" s="533"/>
      <c r="E25" s="533"/>
      <c r="F25" s="533"/>
    </row>
    <row r="26" spans="1:6" s="21" customFormat="1" ht="15.75" x14ac:dyDescent="0.25">
      <c r="A26" s="533" t="s">
        <v>281</v>
      </c>
      <c r="B26" s="533"/>
      <c r="C26" s="533"/>
      <c r="D26" s="533"/>
      <c r="E26" s="533"/>
      <c r="F26" s="533"/>
    </row>
  </sheetData>
  <mergeCells count="11">
    <mergeCell ref="B4:D4"/>
    <mergeCell ref="B2:F2"/>
    <mergeCell ref="C21:D21"/>
    <mergeCell ref="C22:D22"/>
    <mergeCell ref="C23:D23"/>
    <mergeCell ref="A24:F24"/>
    <mergeCell ref="A25:F25"/>
    <mergeCell ref="A26:F26"/>
    <mergeCell ref="E21:F21"/>
    <mergeCell ref="E22:F22"/>
    <mergeCell ref="E23:F23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C67"/>
  <sheetViews>
    <sheetView topLeftCell="A7" zoomScale="118" zoomScaleNormal="118" workbookViewId="0">
      <selection activeCell="AA22" sqref="AA22"/>
    </sheetView>
  </sheetViews>
  <sheetFormatPr defaultColWidth="8.85546875" defaultRowHeight="15.75" x14ac:dyDescent="0.25"/>
  <cols>
    <col min="1" max="1" width="7" style="21" customWidth="1"/>
    <col min="2" max="2" width="6.28515625" style="21" customWidth="1"/>
    <col min="3" max="3" width="3" style="21" customWidth="1"/>
    <col min="4" max="4" width="8.28515625" style="21" customWidth="1"/>
    <col min="5" max="5" width="6.7109375" style="21" customWidth="1"/>
    <col min="6" max="6" width="6.7109375" style="21" hidden="1" customWidth="1"/>
    <col min="7" max="7" width="6.7109375" style="21" customWidth="1"/>
    <col min="8" max="8" width="6.7109375" style="21" hidden="1" customWidth="1"/>
    <col min="9" max="9" width="6.7109375" style="21" customWidth="1"/>
    <col min="10" max="10" width="6.85546875" style="21" customWidth="1"/>
    <col min="11" max="13" width="5" style="21" customWidth="1"/>
    <col min="14" max="14" width="6.42578125" style="21" customWidth="1"/>
    <col min="15" max="16" width="5" style="21" customWidth="1"/>
    <col min="17" max="18" width="5.7109375" style="21" customWidth="1"/>
    <col min="19" max="21" width="5.42578125" style="21" customWidth="1"/>
    <col min="22" max="22" width="7" style="21" customWidth="1"/>
    <col min="23" max="27" width="8.85546875" style="21"/>
    <col min="28" max="28" width="19.28515625" style="21" customWidth="1"/>
    <col min="29" max="16384" width="8.85546875" style="21"/>
  </cols>
  <sheetData>
    <row r="1" spans="1:29" ht="21" customHeight="1" x14ac:dyDescent="0.3">
      <c r="A1" s="545" t="s">
        <v>100</v>
      </c>
      <c r="B1" s="545"/>
      <c r="C1" s="545"/>
      <c r="D1" s="545"/>
      <c r="E1" s="545"/>
      <c r="F1" s="545"/>
      <c r="G1" s="545"/>
      <c r="H1" s="545"/>
      <c r="I1" s="545"/>
      <c r="J1" s="545"/>
      <c r="K1" s="545"/>
      <c r="L1" s="545"/>
      <c r="M1" s="545"/>
      <c r="N1" s="545"/>
      <c r="O1" s="545"/>
      <c r="P1" s="545"/>
      <c r="Q1" s="545"/>
      <c r="R1" s="545"/>
      <c r="S1" s="20"/>
      <c r="T1" s="20"/>
      <c r="U1" s="20"/>
      <c r="V1" s="20"/>
    </row>
    <row r="2" spans="1:29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</row>
    <row r="3" spans="1:29" ht="33" customHeight="1" x14ac:dyDescent="0.25">
      <c r="A3" s="452" t="s">
        <v>119</v>
      </c>
      <c r="B3" s="452"/>
      <c r="C3" s="452"/>
      <c r="D3" s="452"/>
      <c r="E3" s="453" t="str">
        <f>'Annexure A'!C3</f>
        <v>Construction of High Level Bridge across Cauvery river ar km 315/6-316/2 of Chennai- Trichy-Dindugal road (SHU-9) in between Trichy and Srirangam</v>
      </c>
      <c r="F3" s="453"/>
      <c r="G3" s="453"/>
      <c r="H3" s="453"/>
      <c r="I3" s="453"/>
      <c r="J3" s="453"/>
      <c r="K3" s="453"/>
      <c r="L3" s="453"/>
      <c r="M3" s="453"/>
      <c r="N3" s="453"/>
      <c r="O3" s="453"/>
      <c r="P3" s="453"/>
      <c r="Q3" s="453"/>
      <c r="R3" s="453"/>
      <c r="S3" s="19"/>
      <c r="T3" s="19"/>
      <c r="U3" s="19"/>
      <c r="V3" s="19"/>
    </row>
    <row r="4" spans="1:29" ht="7.9" customHeight="1" x14ac:dyDescent="0.25">
      <c r="A4" s="454"/>
      <c r="B4" s="454"/>
      <c r="C4" s="454"/>
      <c r="D4" s="454"/>
      <c r="E4" s="453"/>
      <c r="F4" s="453"/>
      <c r="G4" s="453"/>
      <c r="H4" s="453"/>
      <c r="I4" s="453"/>
      <c r="J4" s="453"/>
      <c r="K4" s="453"/>
      <c r="L4" s="453"/>
      <c r="M4" s="453"/>
      <c r="N4" s="453"/>
      <c r="O4" s="453"/>
      <c r="P4" s="453"/>
      <c r="Q4" s="453"/>
      <c r="R4" s="453"/>
      <c r="S4" s="19"/>
      <c r="T4" s="19"/>
      <c r="U4" s="19"/>
      <c r="V4" s="19"/>
    </row>
    <row r="5" spans="1:29" x14ac:dyDescent="0.25">
      <c r="A5" s="454" t="s">
        <v>101</v>
      </c>
      <c r="B5" s="454"/>
      <c r="C5" s="454"/>
      <c r="D5" s="454"/>
      <c r="E5" s="453" t="str">
        <f>'Annexure A'!D5</f>
        <v xml:space="preserve">Near A1 side </v>
      </c>
      <c r="F5" s="453"/>
      <c r="G5" s="453"/>
      <c r="H5" s="453"/>
      <c r="I5" s="453"/>
      <c r="J5" s="453"/>
      <c r="K5" s="453"/>
      <c r="L5" s="453"/>
      <c r="M5" s="453"/>
      <c r="N5" s="453"/>
      <c r="O5" s="453"/>
      <c r="P5" s="453"/>
      <c r="Q5" s="453"/>
      <c r="R5" s="453"/>
      <c r="S5" s="19"/>
      <c r="T5" s="19"/>
      <c r="U5" s="19"/>
      <c r="V5" s="19"/>
      <c r="AB5" s="21" t="s">
        <v>419</v>
      </c>
      <c r="AC5" s="129">
        <f>'Annexure A'!F36</f>
        <v>67.47</v>
      </c>
    </row>
    <row r="6" spans="1:29" x14ac:dyDescent="0.25">
      <c r="A6" s="454" t="s">
        <v>102</v>
      </c>
      <c r="B6" s="454"/>
      <c r="C6" s="454"/>
      <c r="D6" s="454"/>
      <c r="E6" s="455">
        <f>'Annexure A'!D8</f>
        <v>315.62200000000001</v>
      </c>
      <c r="F6" s="455"/>
      <c r="G6" s="455"/>
      <c r="H6" s="455"/>
      <c r="I6" s="455"/>
      <c r="J6" s="455"/>
      <c r="K6" s="455"/>
      <c r="L6" s="455"/>
      <c r="M6" s="455"/>
      <c r="N6" s="455"/>
      <c r="O6" s="455"/>
      <c r="P6" s="455"/>
      <c r="Q6" s="455"/>
      <c r="R6" s="455"/>
      <c r="S6" s="22"/>
      <c r="T6" s="22"/>
      <c r="U6" s="22"/>
      <c r="V6" s="22"/>
      <c r="AB6" s="21" t="s">
        <v>104</v>
      </c>
      <c r="AC6" s="129">
        <f>'Annexure A'!D11</f>
        <v>67.58</v>
      </c>
    </row>
    <row r="7" spans="1:29" x14ac:dyDescent="0.25">
      <c r="AB7" s="21" t="s">
        <v>418</v>
      </c>
      <c r="AC7" s="129">
        <f>'Annexure A'!D9</f>
        <v>67.47</v>
      </c>
    </row>
    <row r="8" spans="1:29" ht="15" customHeight="1" x14ac:dyDescent="0.25">
      <c r="B8" s="447"/>
      <c r="C8" s="447"/>
      <c r="D8" s="27"/>
      <c r="E8" s="546" t="s">
        <v>330</v>
      </c>
      <c r="F8" s="546"/>
      <c r="G8" s="546"/>
      <c r="H8" s="546"/>
      <c r="I8" s="546"/>
      <c r="J8" s="546"/>
      <c r="K8" s="26"/>
      <c r="L8" s="28"/>
      <c r="M8" s="211"/>
      <c r="N8" s="547" t="s">
        <v>415</v>
      </c>
      <c r="O8" s="547"/>
      <c r="P8" s="547"/>
      <c r="Q8" s="547"/>
      <c r="R8" s="547"/>
      <c r="S8" s="547"/>
      <c r="T8" s="547"/>
      <c r="U8" s="547"/>
      <c r="V8" s="547"/>
    </row>
    <row r="9" spans="1:29" ht="13.15" hidden="1" customHeight="1" thickBot="1" x14ac:dyDescent="0.3">
      <c r="B9" s="447" t="s">
        <v>405</v>
      </c>
      <c r="C9" s="447"/>
      <c r="D9" s="27">
        <f>'Annexure A'!F36</f>
        <v>67.47</v>
      </c>
      <c r="E9" s="542"/>
      <c r="F9" s="543"/>
      <c r="G9" s="543"/>
      <c r="H9" s="543"/>
      <c r="I9" s="543"/>
      <c r="J9" s="544"/>
      <c r="L9" s="28">
        <f>D9-D11</f>
        <v>-0.10999999999999943</v>
      </c>
      <c r="M9" s="78"/>
      <c r="N9" s="138"/>
      <c r="O9" s="138"/>
      <c r="P9" s="138"/>
      <c r="Q9" s="138"/>
      <c r="R9" s="138"/>
      <c r="S9" s="138"/>
      <c r="T9" s="138"/>
      <c r="U9" s="138"/>
      <c r="V9" s="138"/>
      <c r="X9" s="21">
        <v>105.616</v>
      </c>
    </row>
    <row r="10" spans="1:29" ht="13.15" customHeight="1" thickBot="1" x14ac:dyDescent="0.3">
      <c r="B10" s="176"/>
      <c r="C10" s="176"/>
      <c r="D10" s="27"/>
      <c r="E10" s="178"/>
      <c r="F10" s="178"/>
      <c r="G10" s="178"/>
      <c r="H10" s="178"/>
      <c r="I10" s="178"/>
      <c r="J10" s="178"/>
      <c r="L10" s="28"/>
      <c r="M10" s="78"/>
      <c r="N10" s="138"/>
      <c r="O10" s="138"/>
      <c r="P10" s="138"/>
      <c r="Q10" s="138"/>
      <c r="R10" s="138"/>
      <c r="S10" s="138"/>
      <c r="T10" s="138"/>
      <c r="U10" s="138"/>
      <c r="V10" s="138"/>
    </row>
    <row r="11" spans="1:29" ht="17.25" customHeight="1" x14ac:dyDescent="0.25">
      <c r="B11" s="447" t="s">
        <v>474</v>
      </c>
      <c r="C11" s="447"/>
      <c r="D11" s="27">
        <v>67.58</v>
      </c>
      <c r="E11" s="448"/>
      <c r="F11" s="449"/>
      <c r="G11" s="449"/>
      <c r="H11" s="449"/>
      <c r="I11" s="449"/>
      <c r="J11" s="450"/>
      <c r="L11" s="28">
        <f>D11-D12</f>
        <v>0.10999999999999943</v>
      </c>
      <c r="S11" s="21">
        <v>0</v>
      </c>
    </row>
    <row r="12" spans="1:29" ht="33.75" customHeight="1" x14ac:dyDescent="0.25">
      <c r="B12" s="447" t="s">
        <v>475</v>
      </c>
      <c r="C12" s="447"/>
      <c r="D12" s="27">
        <v>67.47</v>
      </c>
      <c r="E12" s="536" t="s">
        <v>478</v>
      </c>
      <c r="F12" s="536"/>
      <c r="G12" s="536"/>
      <c r="H12" s="536"/>
      <c r="I12" s="536"/>
      <c r="J12" s="536"/>
      <c r="L12" s="28">
        <f>D12-D13</f>
        <v>1.5</v>
      </c>
      <c r="N12" s="541" t="s">
        <v>481</v>
      </c>
      <c r="O12" s="541"/>
      <c r="P12" s="541"/>
      <c r="Q12" s="541"/>
      <c r="T12" s="175">
        <f>R20</f>
        <v>2.6909999999999998</v>
      </c>
    </row>
    <row r="13" spans="1:29" ht="33" customHeight="1" x14ac:dyDescent="0.25">
      <c r="B13" s="447" t="s">
        <v>476</v>
      </c>
      <c r="C13" s="447"/>
      <c r="D13" s="27">
        <v>65.97</v>
      </c>
      <c r="E13" s="536" t="s">
        <v>478</v>
      </c>
      <c r="F13" s="536"/>
      <c r="G13" s="536"/>
      <c r="H13" s="536"/>
      <c r="I13" s="536"/>
      <c r="J13" s="536"/>
      <c r="K13" s="26"/>
      <c r="L13" s="213">
        <f>D13-D14</f>
        <v>1.5</v>
      </c>
      <c r="M13" s="24"/>
      <c r="N13" s="541" t="s">
        <v>482</v>
      </c>
      <c r="O13" s="541"/>
      <c r="P13" s="541"/>
      <c r="Q13" s="541"/>
      <c r="R13" s="23"/>
      <c r="S13" s="134"/>
      <c r="T13" s="552">
        <f>R21</f>
        <v>5.367</v>
      </c>
      <c r="U13" s="552"/>
      <c r="V13" s="23"/>
      <c r="AB13" s="21">
        <f>42.99-39.79</f>
        <v>3.2000000000000028</v>
      </c>
    </row>
    <row r="14" spans="1:29" ht="33" customHeight="1" x14ac:dyDescent="0.25">
      <c r="B14" s="176"/>
      <c r="C14" s="176"/>
      <c r="D14" s="27">
        <f>D13-1.5</f>
        <v>64.47</v>
      </c>
      <c r="E14" s="536" t="s">
        <v>478</v>
      </c>
      <c r="F14" s="536"/>
      <c r="G14" s="536"/>
      <c r="H14" s="536"/>
      <c r="I14" s="536"/>
      <c r="J14" s="536"/>
      <c r="K14" s="26"/>
      <c r="L14" s="213">
        <f>1.5</f>
        <v>1.5</v>
      </c>
      <c r="M14" s="24"/>
      <c r="N14" s="541" t="s">
        <v>483</v>
      </c>
      <c r="O14" s="541"/>
      <c r="P14" s="541"/>
      <c r="Q14" s="541"/>
      <c r="R14" s="23"/>
      <c r="S14" s="134"/>
      <c r="T14" s="23"/>
      <c r="U14" s="175">
        <f>R22</f>
        <v>7.9964999999999993</v>
      </c>
      <c r="V14" s="23"/>
    </row>
    <row r="15" spans="1:29" ht="33" customHeight="1" x14ac:dyDescent="0.25">
      <c r="B15" s="553"/>
      <c r="C15" s="553"/>
      <c r="D15" s="27">
        <f>D14-L14</f>
        <v>62.97</v>
      </c>
      <c r="E15" s="536" t="s">
        <v>478</v>
      </c>
      <c r="F15" s="536"/>
      <c r="G15" s="536"/>
      <c r="H15" s="536"/>
      <c r="I15" s="536"/>
      <c r="J15" s="536"/>
      <c r="K15" s="26"/>
      <c r="L15" s="28">
        <f>D15-D16</f>
        <v>0.44500000000000028</v>
      </c>
      <c r="M15" s="24"/>
      <c r="N15" s="541" t="s">
        <v>487</v>
      </c>
      <c r="O15" s="541"/>
      <c r="P15" s="541"/>
      <c r="Q15" s="541"/>
      <c r="R15" s="23"/>
      <c r="S15" s="134"/>
      <c r="T15" s="23"/>
      <c r="U15" s="23"/>
      <c r="V15" s="214">
        <f>R23</f>
        <v>8.7311949999999996</v>
      </c>
    </row>
    <row r="16" spans="1:29" ht="15.6" customHeight="1" x14ac:dyDescent="0.25">
      <c r="A16" s="447" t="s">
        <v>477</v>
      </c>
      <c r="B16" s="447"/>
      <c r="C16" s="447"/>
      <c r="D16" s="27">
        <v>62.524999999999999</v>
      </c>
      <c r="E16" s="471">
        <f>'Annexure A'!D22</f>
        <v>1.2</v>
      </c>
      <c r="F16" s="471"/>
      <c r="G16" s="471"/>
      <c r="H16" s="471"/>
      <c r="I16" s="471"/>
      <c r="J16" s="471"/>
      <c r="T16" s="133"/>
      <c r="V16" s="132"/>
      <c r="AA16" s="129">
        <f>D13-D16</f>
        <v>3.4450000000000003</v>
      </c>
    </row>
    <row r="17" spans="1:27" ht="15.6" customHeight="1" x14ac:dyDescent="0.25">
      <c r="A17" s="176"/>
      <c r="B17" s="176"/>
      <c r="C17" s="176"/>
      <c r="D17" s="27"/>
      <c r="E17" s="215"/>
      <c r="F17" s="215"/>
      <c r="G17" s="215"/>
      <c r="H17" s="215"/>
      <c r="I17" s="215"/>
      <c r="J17" s="215"/>
      <c r="T17" s="133"/>
      <c r="V17" s="132"/>
      <c r="AA17" s="129"/>
    </row>
    <row r="19" spans="1:27" ht="46.15" customHeight="1" x14ac:dyDescent="0.25">
      <c r="A19" s="31" t="s">
        <v>111</v>
      </c>
      <c r="B19" s="548" t="s">
        <v>123</v>
      </c>
      <c r="C19" s="549"/>
      <c r="D19" s="31" t="s">
        <v>479</v>
      </c>
      <c r="E19" s="31" t="s">
        <v>121</v>
      </c>
      <c r="F19" s="31" t="s">
        <v>124</v>
      </c>
      <c r="G19" s="31" t="s">
        <v>480</v>
      </c>
      <c r="H19" s="31" t="s">
        <v>126</v>
      </c>
      <c r="I19" s="31" t="s">
        <v>127</v>
      </c>
      <c r="J19" s="31" t="s">
        <v>112</v>
      </c>
      <c r="K19" s="31" t="s">
        <v>113</v>
      </c>
      <c r="L19" s="31" t="s">
        <v>117</v>
      </c>
      <c r="M19" s="31" t="s">
        <v>114</v>
      </c>
      <c r="N19" s="31" t="s">
        <v>115</v>
      </c>
      <c r="O19" s="31" t="s">
        <v>128</v>
      </c>
      <c r="P19" s="31" t="s">
        <v>122</v>
      </c>
      <c r="Q19" s="31" t="s">
        <v>394</v>
      </c>
      <c r="R19" s="31" t="s">
        <v>393</v>
      </c>
      <c r="S19" s="31" t="s">
        <v>131</v>
      </c>
      <c r="T19" s="540" t="s">
        <v>129</v>
      </c>
      <c r="U19" s="540"/>
      <c r="V19" s="31" t="s">
        <v>120</v>
      </c>
    </row>
    <row r="20" spans="1:27" ht="36" customHeight="1" x14ac:dyDescent="0.25">
      <c r="A20" s="34">
        <v>1</v>
      </c>
      <c r="B20" s="550">
        <f>L12</f>
        <v>1.5</v>
      </c>
      <c r="C20" s="551"/>
      <c r="D20" s="35">
        <v>1.794</v>
      </c>
      <c r="E20" s="106">
        <v>11.3</v>
      </c>
      <c r="F20" s="35">
        <f>ROUND(D20/(1+E20/100),3)</f>
        <v>1.6120000000000001</v>
      </c>
      <c r="G20" s="35">
        <f>D20</f>
        <v>1.794</v>
      </c>
      <c r="H20" s="35">
        <v>0</v>
      </c>
      <c r="I20" s="35">
        <v>1.2</v>
      </c>
      <c r="J20" s="34">
        <v>23.3</v>
      </c>
      <c r="K20" s="34">
        <v>1.5</v>
      </c>
      <c r="L20" s="34">
        <v>17</v>
      </c>
      <c r="M20" s="34">
        <v>0.3</v>
      </c>
      <c r="N20" s="35">
        <f>ROUND(TAN(RADIANS(J20)),3)</f>
        <v>0.43099999999999999</v>
      </c>
      <c r="O20" s="34">
        <v>0</v>
      </c>
      <c r="P20" s="35">
        <f>B20</f>
        <v>1.5</v>
      </c>
      <c r="Q20" s="35">
        <v>0</v>
      </c>
      <c r="R20" s="35">
        <f>B20*(G20+H20)</f>
        <v>2.6909999999999998</v>
      </c>
      <c r="S20" s="35">
        <f>AVERAGE(Q20:R20)</f>
        <v>1.3454999999999999</v>
      </c>
      <c r="T20" s="539">
        <f>ROUND((22*B20*I20/7),3)</f>
        <v>5.657</v>
      </c>
      <c r="U20" s="539"/>
      <c r="V20" s="35">
        <f>ROUND(K20*S20*N20*T20+M20*O20*T20,3)</f>
        <v>4.9210000000000003</v>
      </c>
      <c r="W20" s="179"/>
      <c r="X20" s="175"/>
    </row>
    <row r="21" spans="1:27" ht="36" customHeight="1" x14ac:dyDescent="0.25">
      <c r="A21" s="34">
        <v>2</v>
      </c>
      <c r="B21" s="550">
        <f>L13</f>
        <v>1.5</v>
      </c>
      <c r="C21" s="551"/>
      <c r="D21" s="35">
        <v>1.784</v>
      </c>
      <c r="E21" s="106">
        <v>12.1</v>
      </c>
      <c r="F21" s="35"/>
      <c r="G21" s="35">
        <f>D21</f>
        <v>1.784</v>
      </c>
      <c r="H21" s="35">
        <v>0</v>
      </c>
      <c r="I21" s="35">
        <v>1.2</v>
      </c>
      <c r="J21" s="34">
        <v>24.5</v>
      </c>
      <c r="K21" s="34">
        <v>1.5</v>
      </c>
      <c r="L21" s="34">
        <v>19</v>
      </c>
      <c r="M21" s="34">
        <v>0.3</v>
      </c>
      <c r="N21" s="35">
        <f t="shared" ref="N21:N23" si="0">ROUND(TAN(RADIANS(J21)),3)</f>
        <v>0.45600000000000002</v>
      </c>
      <c r="O21" s="34">
        <v>0</v>
      </c>
      <c r="P21" s="35">
        <f>(P20+B21)</f>
        <v>3</v>
      </c>
      <c r="Q21" s="35">
        <f>R20</f>
        <v>2.6909999999999998</v>
      </c>
      <c r="R21" s="35">
        <f>(B21*(G21+H21)+R20)</f>
        <v>5.367</v>
      </c>
      <c r="S21" s="35">
        <f t="shared" ref="S21:S23" si="1">AVERAGE(Q21:R21)</f>
        <v>4.0289999999999999</v>
      </c>
      <c r="T21" s="539">
        <f t="shared" ref="T21:T22" si="2">ROUND((22*B21*I21/7),3)</f>
        <v>5.657</v>
      </c>
      <c r="U21" s="539"/>
      <c r="V21" s="35">
        <f t="shared" ref="V21:V23" si="3">ROUND(K21*S21*N21*T21+M21*O21*T21,3)</f>
        <v>15.59</v>
      </c>
      <c r="W21" s="179"/>
      <c r="X21" s="175"/>
    </row>
    <row r="22" spans="1:27" ht="36" customHeight="1" x14ac:dyDescent="0.25">
      <c r="A22" s="34">
        <v>3</v>
      </c>
      <c r="B22" s="550">
        <f>L14</f>
        <v>1.5</v>
      </c>
      <c r="C22" s="551"/>
      <c r="D22" s="35">
        <v>1.7529999999999999</v>
      </c>
      <c r="E22" s="106">
        <v>9.32</v>
      </c>
      <c r="F22" s="35"/>
      <c r="G22" s="35">
        <f>D22</f>
        <v>1.7529999999999999</v>
      </c>
      <c r="H22" s="35">
        <v>0</v>
      </c>
      <c r="I22" s="35">
        <v>1.2</v>
      </c>
      <c r="J22" s="34">
        <v>26.7</v>
      </c>
      <c r="K22" s="34">
        <v>1.5</v>
      </c>
      <c r="L22" s="34">
        <v>20</v>
      </c>
      <c r="M22" s="34">
        <v>0.3</v>
      </c>
      <c r="N22" s="35">
        <f t="shared" si="0"/>
        <v>0.503</v>
      </c>
      <c r="O22" s="34">
        <v>0</v>
      </c>
      <c r="P22" s="35">
        <f>(P21+B22)</f>
        <v>4.5</v>
      </c>
      <c r="Q22" s="35">
        <f>R21</f>
        <v>5.367</v>
      </c>
      <c r="R22" s="35">
        <f>(B22*(G22+H22)+R21)</f>
        <v>7.9964999999999993</v>
      </c>
      <c r="S22" s="35">
        <f t="shared" si="1"/>
        <v>6.6817499999999992</v>
      </c>
      <c r="T22" s="539">
        <f t="shared" si="2"/>
        <v>5.657</v>
      </c>
      <c r="U22" s="539"/>
      <c r="V22" s="35">
        <f t="shared" si="3"/>
        <v>28.518999999999998</v>
      </c>
      <c r="W22" s="179"/>
      <c r="X22" s="175"/>
    </row>
    <row r="23" spans="1:27" ht="36" customHeight="1" x14ac:dyDescent="0.25">
      <c r="A23" s="34">
        <v>4</v>
      </c>
      <c r="B23" s="550">
        <f>L15</f>
        <v>0.44500000000000028</v>
      </c>
      <c r="C23" s="551"/>
      <c r="D23" s="35">
        <v>1.651</v>
      </c>
      <c r="E23" s="106">
        <v>10.5</v>
      </c>
      <c r="F23" s="35"/>
      <c r="G23" s="35">
        <f>D23</f>
        <v>1.651</v>
      </c>
      <c r="H23" s="35">
        <v>0</v>
      </c>
      <c r="I23" s="35">
        <v>1.2</v>
      </c>
      <c r="J23" s="34">
        <v>28.3</v>
      </c>
      <c r="K23" s="34">
        <v>1.5</v>
      </c>
      <c r="L23" s="34">
        <v>22</v>
      </c>
      <c r="M23" s="34">
        <v>0.3</v>
      </c>
      <c r="N23" s="35">
        <f t="shared" si="0"/>
        <v>0.53800000000000003</v>
      </c>
      <c r="O23" s="34">
        <v>0</v>
      </c>
      <c r="P23" s="35">
        <f>(P22+B23)</f>
        <v>4.9450000000000003</v>
      </c>
      <c r="Q23" s="35">
        <f>R22</f>
        <v>7.9964999999999993</v>
      </c>
      <c r="R23" s="35">
        <f>(B23*(G23+H23)+R22)</f>
        <v>8.7311949999999996</v>
      </c>
      <c r="S23" s="35">
        <f t="shared" si="1"/>
        <v>8.3638474999999985</v>
      </c>
      <c r="T23" s="539">
        <f t="shared" ref="T23" si="4">ROUND((22*B23*I23/7),3)</f>
        <v>1.6779999999999999</v>
      </c>
      <c r="U23" s="539"/>
      <c r="V23" s="35">
        <f t="shared" si="3"/>
        <v>11.326000000000001</v>
      </c>
      <c r="W23" s="179"/>
      <c r="X23" s="175"/>
    </row>
    <row r="24" spans="1:27" ht="17.45" customHeight="1" x14ac:dyDescent="0.25">
      <c r="T24" s="537" t="s">
        <v>348</v>
      </c>
      <c r="U24" s="538"/>
      <c r="V24" s="210">
        <f>SUM(V20:V23)</f>
        <v>60.356000000000002</v>
      </c>
      <c r="X24" s="175"/>
    </row>
    <row r="25" spans="1:27" ht="12.6" customHeight="1" x14ac:dyDescent="0.25"/>
    <row r="26" spans="1:27" hidden="1" x14ac:dyDescent="0.25"/>
    <row r="27" spans="1:27" ht="30.6" customHeight="1" x14ac:dyDescent="0.25"/>
    <row r="28" spans="1:27" ht="15.6" customHeight="1" x14ac:dyDescent="0.25">
      <c r="A28" s="472"/>
      <c r="B28" s="472"/>
      <c r="C28" s="472"/>
      <c r="D28" s="472"/>
      <c r="E28" s="472"/>
      <c r="F28" s="472"/>
      <c r="G28" s="472"/>
      <c r="H28" s="173"/>
      <c r="I28" s="173"/>
      <c r="J28" s="173"/>
      <c r="K28" s="173"/>
      <c r="L28" s="173"/>
      <c r="M28" s="173"/>
      <c r="N28" s="173"/>
      <c r="O28" s="173"/>
      <c r="P28" s="472"/>
      <c r="Q28" s="472"/>
      <c r="R28" s="472"/>
      <c r="S28" s="472"/>
      <c r="T28" s="472"/>
      <c r="U28" s="173"/>
      <c r="V28" s="173"/>
    </row>
    <row r="29" spans="1:27" ht="15.6" customHeight="1" x14ac:dyDescent="0.25">
      <c r="A29" s="173"/>
      <c r="B29" s="173"/>
      <c r="C29" s="472"/>
      <c r="D29" s="472"/>
      <c r="E29" s="173"/>
      <c r="F29" s="173"/>
      <c r="G29" s="173"/>
      <c r="H29" s="173"/>
      <c r="I29" s="173"/>
      <c r="J29" s="173"/>
      <c r="K29" s="173"/>
      <c r="L29" s="173"/>
      <c r="M29" s="173"/>
      <c r="N29" s="173"/>
      <c r="O29" s="173"/>
      <c r="P29" s="173"/>
      <c r="Q29" s="472"/>
      <c r="R29" s="472"/>
      <c r="S29" s="472"/>
      <c r="T29" s="173"/>
      <c r="U29" s="173"/>
      <c r="V29" s="173"/>
    </row>
    <row r="30" spans="1:27" ht="15.6" customHeight="1" x14ac:dyDescent="0.25">
      <c r="A30" s="173"/>
      <c r="B30" s="173"/>
      <c r="C30" s="472"/>
      <c r="D30" s="472"/>
      <c r="E30" s="173"/>
      <c r="F30" s="173"/>
      <c r="G30" s="173"/>
      <c r="H30" s="173"/>
      <c r="I30" s="173"/>
      <c r="J30" s="173"/>
      <c r="K30" s="173"/>
      <c r="L30" s="173"/>
      <c r="M30" s="173"/>
      <c r="N30" s="173"/>
      <c r="O30" s="173"/>
      <c r="P30" s="173"/>
      <c r="Q30" s="472"/>
      <c r="R30" s="472"/>
      <c r="S30" s="472"/>
      <c r="T30" s="173"/>
      <c r="U30" s="173"/>
      <c r="V30" s="173"/>
    </row>
    <row r="31" spans="1:27" x14ac:dyDescent="0.25">
      <c r="A31" s="472"/>
      <c r="B31" s="472"/>
      <c r="C31" s="472"/>
      <c r="D31" s="472"/>
      <c r="E31" s="472"/>
      <c r="F31" s="472"/>
      <c r="G31" s="472"/>
      <c r="H31" s="472"/>
      <c r="I31" s="472"/>
      <c r="J31" s="472"/>
      <c r="K31" s="472"/>
      <c r="L31" s="472"/>
      <c r="M31" s="472"/>
      <c r="N31" s="472"/>
      <c r="O31" s="472"/>
      <c r="P31" s="472"/>
      <c r="Q31" s="472"/>
      <c r="R31" s="472"/>
      <c r="S31" s="472"/>
      <c r="T31" s="472"/>
      <c r="U31" s="472"/>
      <c r="V31" s="472"/>
    </row>
    <row r="32" spans="1:27" x14ac:dyDescent="0.25">
      <c r="A32" s="472"/>
      <c r="B32" s="472"/>
      <c r="C32" s="472"/>
      <c r="D32" s="472"/>
      <c r="E32" s="472"/>
      <c r="F32" s="472"/>
      <c r="G32" s="472"/>
      <c r="H32" s="472"/>
      <c r="I32" s="472"/>
      <c r="J32" s="472"/>
      <c r="K32" s="472"/>
      <c r="L32" s="472"/>
      <c r="M32" s="472"/>
      <c r="N32" s="472"/>
      <c r="O32" s="472"/>
      <c r="P32" s="472"/>
      <c r="Q32" s="472"/>
      <c r="R32" s="472"/>
      <c r="S32" s="472"/>
      <c r="T32" s="472"/>
      <c r="U32" s="472"/>
      <c r="V32" s="472"/>
    </row>
    <row r="33" spans="1:22" x14ac:dyDescent="0.25">
      <c r="A33" s="472"/>
      <c r="B33" s="472"/>
      <c r="C33" s="472"/>
      <c r="D33" s="472"/>
      <c r="E33" s="472"/>
      <c r="F33" s="472"/>
      <c r="G33" s="472"/>
      <c r="H33" s="472"/>
      <c r="I33" s="472"/>
      <c r="J33" s="472"/>
      <c r="K33" s="472"/>
      <c r="L33" s="472"/>
      <c r="M33" s="472"/>
      <c r="N33" s="472"/>
      <c r="O33" s="472"/>
      <c r="P33" s="472"/>
      <c r="Q33" s="472"/>
      <c r="R33" s="472"/>
      <c r="S33" s="472"/>
      <c r="T33" s="472"/>
      <c r="U33" s="472"/>
      <c r="V33" s="472"/>
    </row>
    <row r="51" spans="6:6" ht="63" x14ac:dyDescent="0.25">
      <c r="F51" s="21" t="s">
        <v>351</v>
      </c>
    </row>
    <row r="52" spans="6:6" ht="31.5" x14ac:dyDescent="0.25">
      <c r="F52" s="21" t="s">
        <v>352</v>
      </c>
    </row>
    <row r="63" spans="6:6" ht="40.15" customHeight="1" x14ac:dyDescent="0.25"/>
    <row r="66" spans="4:4" ht="28.9" customHeight="1" x14ac:dyDescent="0.25"/>
    <row r="67" spans="4:4" ht="37.15" customHeight="1" x14ac:dyDescent="0.25">
      <c r="D67" s="21" t="s">
        <v>353</v>
      </c>
    </row>
  </sheetData>
  <mergeCells count="50">
    <mergeCell ref="B11:C11"/>
    <mergeCell ref="E11:J11"/>
    <mergeCell ref="B15:C15"/>
    <mergeCell ref="N12:Q12"/>
    <mergeCell ref="E12:J12"/>
    <mergeCell ref="A28:G28"/>
    <mergeCell ref="P28:T28"/>
    <mergeCell ref="B12:C12"/>
    <mergeCell ref="B19:C19"/>
    <mergeCell ref="B20:C20"/>
    <mergeCell ref="B21:C21"/>
    <mergeCell ref="B22:C22"/>
    <mergeCell ref="T21:U21"/>
    <mergeCell ref="T22:U22"/>
    <mergeCell ref="N15:Q15"/>
    <mergeCell ref="E14:J14"/>
    <mergeCell ref="B23:C23"/>
    <mergeCell ref="T23:U23"/>
    <mergeCell ref="T13:U13"/>
    <mergeCell ref="N14:Q14"/>
    <mergeCell ref="E9:J9"/>
    <mergeCell ref="B9:C9"/>
    <mergeCell ref="A1:R1"/>
    <mergeCell ref="A3:D3"/>
    <mergeCell ref="E3:R3"/>
    <mergeCell ref="A4:D4"/>
    <mergeCell ref="E4:R4"/>
    <mergeCell ref="A5:D5"/>
    <mergeCell ref="E5:R5"/>
    <mergeCell ref="A6:D6"/>
    <mergeCell ref="E6:R6"/>
    <mergeCell ref="B8:C8"/>
    <mergeCell ref="E8:J8"/>
    <mergeCell ref="N8:V8"/>
    <mergeCell ref="A33:V33"/>
    <mergeCell ref="E13:J13"/>
    <mergeCell ref="A31:V31"/>
    <mergeCell ref="A32:V32"/>
    <mergeCell ref="A16:C16"/>
    <mergeCell ref="E16:J16"/>
    <mergeCell ref="T24:U24"/>
    <mergeCell ref="T20:U20"/>
    <mergeCell ref="T19:U19"/>
    <mergeCell ref="B13:C13"/>
    <mergeCell ref="N13:Q13"/>
    <mergeCell ref="C30:D30"/>
    <mergeCell ref="C29:D29"/>
    <mergeCell ref="Q30:S30"/>
    <mergeCell ref="Q29:S29"/>
    <mergeCell ref="E15:J15"/>
  </mergeCells>
  <pageMargins left="0.7" right="0.7" top="0.75" bottom="0.75" header="0.3" footer="0.3"/>
  <pageSetup paperSize="9" scale="74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H60"/>
  <sheetViews>
    <sheetView topLeftCell="B12" zoomScale="95" zoomScaleNormal="95" workbookViewId="0">
      <selection activeCell="Z23" sqref="Z23"/>
    </sheetView>
  </sheetViews>
  <sheetFormatPr defaultColWidth="8.85546875" defaultRowHeight="15.75" x14ac:dyDescent="0.25"/>
  <cols>
    <col min="1" max="3" width="5" style="21" customWidth="1"/>
    <col min="4" max="4" width="8.28515625" style="21" customWidth="1"/>
    <col min="5" max="6" width="6.7109375" style="21" customWidth="1"/>
    <col min="7" max="7" width="4.28515625" style="21" customWidth="1"/>
    <col min="8" max="15" width="5" style="21" customWidth="1"/>
    <col min="16" max="16" width="7.140625" style="21" customWidth="1"/>
    <col min="17" max="19" width="5.42578125" style="21" customWidth="1"/>
    <col min="20" max="20" width="7" style="21" customWidth="1"/>
    <col min="21" max="21" width="8.85546875" style="21"/>
    <col min="22" max="24" width="0" style="21" hidden="1" customWidth="1"/>
    <col min="25" max="30" width="8.85546875" style="21"/>
    <col min="31" max="31" width="12.140625" style="21" customWidth="1"/>
    <col min="32" max="32" width="9.5703125" style="21" customWidth="1"/>
    <col min="33" max="16384" width="8.85546875" style="21"/>
  </cols>
  <sheetData>
    <row r="1" spans="1:33" ht="75" customHeight="1" x14ac:dyDescent="0.25">
      <c r="A1" s="451" t="s">
        <v>100</v>
      </c>
      <c r="B1" s="451"/>
      <c r="C1" s="451"/>
      <c r="D1" s="451"/>
      <c r="E1" s="451"/>
      <c r="F1" s="451"/>
      <c r="G1" s="451"/>
      <c r="H1" s="451"/>
      <c r="I1" s="451"/>
      <c r="J1" s="451"/>
      <c r="K1" s="451"/>
      <c r="L1" s="451"/>
      <c r="M1" s="451"/>
      <c r="N1" s="451"/>
      <c r="O1" s="451"/>
      <c r="P1" s="451"/>
      <c r="Q1" s="20"/>
      <c r="R1" s="20"/>
      <c r="S1" s="20"/>
      <c r="T1" s="20"/>
    </row>
    <row r="2" spans="1:33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spans="1:33" ht="37.9" customHeight="1" x14ac:dyDescent="0.25">
      <c r="A3" s="452" t="s">
        <v>119</v>
      </c>
      <c r="B3" s="452"/>
      <c r="C3" s="452"/>
      <c r="D3" s="452"/>
      <c r="E3" s="453" t="str">
        <f>'Annexure A'!C3</f>
        <v>Construction of High Level Bridge across Cauvery river ar km 315/6-316/2 of Chennai- Trichy-Dindugal road (SHU-9) in between Trichy and Srirangam</v>
      </c>
      <c r="F3" s="453"/>
      <c r="G3" s="453"/>
      <c r="H3" s="453"/>
      <c r="I3" s="453"/>
      <c r="J3" s="453"/>
      <c r="K3" s="453"/>
      <c r="L3" s="453"/>
      <c r="M3" s="453"/>
      <c r="N3" s="453"/>
      <c r="O3" s="453"/>
      <c r="P3" s="453"/>
      <c r="Q3" s="19"/>
      <c r="R3" s="19"/>
      <c r="S3" s="19"/>
      <c r="T3" s="19"/>
    </row>
    <row r="4" spans="1:33" ht="7.9" customHeight="1" x14ac:dyDescent="0.25">
      <c r="A4" s="454"/>
      <c r="B4" s="454"/>
      <c r="C4" s="454"/>
      <c r="D4" s="454"/>
      <c r="E4" s="453"/>
      <c r="F4" s="453"/>
      <c r="G4" s="453"/>
      <c r="H4" s="453"/>
      <c r="I4" s="453"/>
      <c r="J4" s="453"/>
      <c r="K4" s="453"/>
      <c r="L4" s="453"/>
      <c r="M4" s="453"/>
      <c r="N4" s="453"/>
      <c r="O4" s="453"/>
      <c r="P4" s="453"/>
      <c r="Q4" s="19"/>
      <c r="R4" s="19"/>
      <c r="S4" s="19"/>
      <c r="T4" s="19"/>
    </row>
    <row r="5" spans="1:33" x14ac:dyDescent="0.25">
      <c r="A5" s="454" t="s">
        <v>101</v>
      </c>
      <c r="B5" s="454"/>
      <c r="C5" s="454"/>
      <c r="D5" s="454"/>
      <c r="E5" s="453" t="str">
        <f>'Annexure A'!D5</f>
        <v xml:space="preserve">Near A1 side </v>
      </c>
      <c r="F5" s="453"/>
      <c r="G5" s="453"/>
      <c r="H5" s="453"/>
      <c r="I5" s="453"/>
      <c r="J5" s="453"/>
      <c r="K5" s="453"/>
      <c r="L5" s="453"/>
      <c r="M5" s="453"/>
      <c r="N5" s="453"/>
      <c r="O5" s="453"/>
      <c r="P5" s="453"/>
      <c r="Q5" s="19"/>
      <c r="R5" s="19"/>
      <c r="S5" s="19"/>
      <c r="T5" s="19"/>
    </row>
    <row r="6" spans="1:33" x14ac:dyDescent="0.25">
      <c r="A6" s="454" t="s">
        <v>102</v>
      </c>
      <c r="B6" s="454"/>
      <c r="C6" s="454"/>
      <c r="D6" s="454"/>
      <c r="E6" s="455">
        <f>'Annexure A'!D8</f>
        <v>315.62200000000001</v>
      </c>
      <c r="F6" s="455"/>
      <c r="G6" s="455"/>
      <c r="H6" s="455"/>
      <c r="I6" s="455"/>
      <c r="J6" s="455"/>
      <c r="K6" s="455"/>
      <c r="L6" s="455"/>
      <c r="M6" s="455"/>
      <c r="N6" s="455"/>
      <c r="O6" s="455"/>
      <c r="P6" s="455"/>
      <c r="Q6" s="22"/>
      <c r="R6" s="22"/>
      <c r="S6" s="22"/>
      <c r="T6" s="22"/>
    </row>
    <row r="8" spans="1:33" ht="21.6" customHeight="1" thickBot="1" x14ac:dyDescent="0.3">
      <c r="B8" s="447"/>
      <c r="C8" s="447"/>
      <c r="D8" s="27"/>
      <c r="E8" s="555" t="s">
        <v>330</v>
      </c>
      <c r="F8" s="555"/>
      <c r="G8" s="555"/>
      <c r="H8" s="555"/>
      <c r="J8" s="28"/>
      <c r="K8" s="457" t="s">
        <v>103</v>
      </c>
      <c r="L8" s="457"/>
      <c r="M8" s="457"/>
      <c r="N8" s="457"/>
      <c r="O8" s="457"/>
      <c r="P8" s="457"/>
      <c r="Q8" s="457"/>
      <c r="R8" s="457"/>
      <c r="S8" s="457"/>
      <c r="T8" s="457"/>
    </row>
    <row r="9" spans="1:33" ht="12.6" customHeight="1" x14ac:dyDescent="0.25">
      <c r="B9" s="447" t="s">
        <v>104</v>
      </c>
      <c r="C9" s="447"/>
      <c r="D9" s="27">
        <f>'Annexure A'!D11:G11</f>
        <v>67.58</v>
      </c>
      <c r="E9" s="448"/>
      <c r="F9" s="449"/>
      <c r="G9" s="449"/>
      <c r="H9" s="450"/>
      <c r="I9" s="124"/>
      <c r="J9" s="126">
        <f>D9-D10</f>
        <v>34.379999999999995</v>
      </c>
    </row>
    <row r="10" spans="1:33" ht="13.15" customHeight="1" x14ac:dyDescent="0.25">
      <c r="B10" s="447"/>
      <c r="C10" s="447"/>
      <c r="D10" s="125">
        <v>33.200000000000003</v>
      </c>
      <c r="E10" s="563"/>
      <c r="F10" s="564"/>
      <c r="G10" s="564"/>
      <c r="H10" s="565"/>
      <c r="I10" s="124"/>
      <c r="J10" s="126">
        <f>D10-D11</f>
        <v>-34.269999999999996</v>
      </c>
      <c r="L10" s="24"/>
      <c r="M10" s="458"/>
      <c r="N10" s="458"/>
      <c r="O10" s="458"/>
      <c r="P10" s="458"/>
      <c r="Q10" s="458"/>
      <c r="R10" s="458"/>
      <c r="S10" s="458"/>
      <c r="T10" s="458"/>
      <c r="U10" s="24"/>
      <c r="V10" s="25"/>
    </row>
    <row r="11" spans="1:33" ht="109.9" customHeight="1" x14ac:dyDescent="0.25">
      <c r="B11" s="447" t="s">
        <v>105</v>
      </c>
      <c r="C11" s="447"/>
      <c r="D11" s="27">
        <f>'Annexure A'!D9:G9</f>
        <v>67.47</v>
      </c>
      <c r="E11" s="559" t="s">
        <v>386</v>
      </c>
      <c r="F11" s="463"/>
      <c r="G11" s="463"/>
      <c r="H11" s="560"/>
      <c r="I11" s="26"/>
      <c r="J11" s="28">
        <f>D11-D12</f>
        <v>1.5</v>
      </c>
      <c r="L11" s="24" t="s">
        <v>106</v>
      </c>
      <c r="M11" s="458" t="s">
        <v>390</v>
      </c>
      <c r="N11" s="458"/>
      <c r="O11" s="458"/>
      <c r="P11" s="458"/>
      <c r="Q11" s="458"/>
      <c r="R11" s="458"/>
      <c r="S11" s="458"/>
      <c r="T11" s="458"/>
      <c r="U11" s="24"/>
      <c r="V11" s="25"/>
    </row>
    <row r="12" spans="1:33" ht="20.45" customHeight="1" x14ac:dyDescent="0.25">
      <c r="B12" s="447" t="s">
        <v>116</v>
      </c>
      <c r="C12" s="447"/>
      <c r="D12" s="27">
        <f>'Annexure A'!D10</f>
        <v>65.97</v>
      </c>
      <c r="E12" s="561"/>
      <c r="F12" s="469"/>
      <c r="G12" s="469"/>
      <c r="H12" s="562"/>
      <c r="I12" s="26"/>
      <c r="J12" s="28">
        <f>1.5-J11-J10</f>
        <v>34.269999999999996</v>
      </c>
      <c r="L12" s="24" t="s">
        <v>107</v>
      </c>
      <c r="M12" s="458" t="s">
        <v>390</v>
      </c>
      <c r="N12" s="458"/>
      <c r="O12" s="458"/>
      <c r="P12" s="458"/>
      <c r="Q12" s="458"/>
      <c r="R12" s="458"/>
      <c r="S12" s="458"/>
      <c r="T12" s="458"/>
      <c r="U12" s="24"/>
      <c r="V12" s="25"/>
    </row>
    <row r="13" spans="1:33" ht="37.9" customHeight="1" x14ac:dyDescent="0.25">
      <c r="B13" s="447"/>
      <c r="C13" s="447"/>
      <c r="D13" s="27">
        <f>D10-1.5</f>
        <v>31.700000000000003</v>
      </c>
      <c r="E13" s="556" t="s">
        <v>387</v>
      </c>
      <c r="F13" s="557"/>
      <c r="G13" s="557"/>
      <c r="H13" s="558"/>
      <c r="I13" s="105"/>
      <c r="J13" s="28">
        <f>D13-D14</f>
        <v>-30.824999999999996</v>
      </c>
      <c r="L13" s="24" t="s">
        <v>108</v>
      </c>
      <c r="M13" s="458" t="s">
        <v>391</v>
      </c>
      <c r="N13" s="458"/>
      <c r="O13" s="458"/>
      <c r="P13" s="458"/>
      <c r="Q13" s="458"/>
      <c r="R13" s="458"/>
      <c r="S13" s="458"/>
      <c r="T13" s="458"/>
      <c r="U13" s="24"/>
      <c r="V13" s="25"/>
    </row>
    <row r="14" spans="1:33" ht="15.6" customHeight="1" x14ac:dyDescent="0.25">
      <c r="A14" s="447" t="s">
        <v>388</v>
      </c>
      <c r="B14" s="447"/>
      <c r="C14" s="447"/>
      <c r="D14" s="27">
        <f>'Annexure A'!D14:G14</f>
        <v>62.524999999999999</v>
      </c>
      <c r="E14" s="471">
        <f>'Annexure A'!D22</f>
        <v>1.2</v>
      </c>
      <c r="F14" s="471"/>
      <c r="G14" s="471"/>
      <c r="H14" s="471"/>
      <c r="L14" s="456"/>
      <c r="M14" s="456"/>
      <c r="N14" s="456"/>
      <c r="O14" s="456"/>
      <c r="P14" s="456"/>
      <c r="Q14" s="456"/>
      <c r="R14" s="456"/>
      <c r="S14" s="456"/>
      <c r="T14" s="456"/>
    </row>
    <row r="15" spans="1:33" x14ac:dyDescent="0.25">
      <c r="AA15" s="554" t="s">
        <v>359</v>
      </c>
      <c r="AB15" s="554" t="s">
        <v>358</v>
      </c>
      <c r="AC15" s="554" t="s">
        <v>360</v>
      </c>
      <c r="AD15" s="116"/>
      <c r="AE15" s="554" t="s">
        <v>355</v>
      </c>
      <c r="AF15" s="554"/>
      <c r="AG15" s="554"/>
    </row>
    <row r="16" spans="1:33" ht="46.15" customHeight="1" x14ac:dyDescent="0.25">
      <c r="A16" s="31" t="s">
        <v>111</v>
      </c>
      <c r="B16" s="31" t="s">
        <v>123</v>
      </c>
      <c r="C16" s="31" t="s">
        <v>118</v>
      </c>
      <c r="D16" s="31" t="s">
        <v>118</v>
      </c>
      <c r="E16" s="31" t="s">
        <v>121</v>
      </c>
      <c r="F16" s="31" t="s">
        <v>124</v>
      </c>
      <c r="G16" s="31" t="s">
        <v>125</v>
      </c>
      <c r="H16" s="31" t="s">
        <v>126</v>
      </c>
      <c r="I16" s="31" t="s">
        <v>127</v>
      </c>
      <c r="J16" s="31" t="s">
        <v>112</v>
      </c>
      <c r="K16" s="31" t="s">
        <v>113</v>
      </c>
      <c r="L16" s="31" t="s">
        <v>117</v>
      </c>
      <c r="M16" s="31" t="s">
        <v>114</v>
      </c>
      <c r="N16" s="31" t="s">
        <v>128</v>
      </c>
      <c r="O16" s="31" t="s">
        <v>122</v>
      </c>
      <c r="P16" s="31" t="s">
        <v>130</v>
      </c>
      <c r="Q16" s="31" t="s">
        <v>131</v>
      </c>
      <c r="R16" s="31" t="s">
        <v>115</v>
      </c>
      <c r="S16" s="31" t="s">
        <v>129</v>
      </c>
      <c r="T16" s="31" t="s">
        <v>120</v>
      </c>
      <c r="AA16" s="554"/>
      <c r="AB16" s="554"/>
      <c r="AC16" s="554"/>
      <c r="AD16" s="116" t="s">
        <v>357</v>
      </c>
      <c r="AE16" s="116" t="s">
        <v>356</v>
      </c>
      <c r="AF16" s="116" t="s">
        <v>361</v>
      </c>
      <c r="AG16" s="116" t="s">
        <v>323</v>
      </c>
    </row>
    <row r="17" spans="1:34" ht="23.45" customHeight="1" x14ac:dyDescent="0.25">
      <c r="A17" s="34">
        <v>1</v>
      </c>
      <c r="B17" s="35">
        <f>J11</f>
        <v>1.5</v>
      </c>
      <c r="C17" s="106">
        <v>16.899999999999999</v>
      </c>
      <c r="D17" s="35">
        <f>ROUND(C17/9.81,3)</f>
        <v>1.7230000000000001</v>
      </c>
      <c r="E17" s="106">
        <v>12.6</v>
      </c>
      <c r="F17" s="35">
        <f>ROUND(D17/(1+E17/100),3)</f>
        <v>1.53</v>
      </c>
      <c r="G17" s="35">
        <f>F17</f>
        <v>1.53</v>
      </c>
      <c r="H17" s="35"/>
      <c r="I17" s="35">
        <v>1</v>
      </c>
      <c r="J17" s="34">
        <v>25.9</v>
      </c>
      <c r="K17" s="34">
        <v>1.5</v>
      </c>
      <c r="L17" s="34">
        <v>8</v>
      </c>
      <c r="M17" s="34">
        <v>0.5</v>
      </c>
      <c r="N17" s="34">
        <v>0</v>
      </c>
      <c r="O17" s="35">
        <f>B17</f>
        <v>1.5</v>
      </c>
      <c r="P17" s="35">
        <f>O17*(G17+H17)</f>
        <v>2.2949999999999999</v>
      </c>
      <c r="Q17" s="35">
        <f>AG17</f>
        <v>1.7212499999999999</v>
      </c>
      <c r="R17" s="35">
        <f t="shared" ref="R17" si="0">TAN(RADIANS(J17))</f>
        <v>0.48557391041077913</v>
      </c>
      <c r="S17" s="35">
        <f>ROUND((22*B17*I17/7),3)</f>
        <v>4.7140000000000004</v>
      </c>
      <c r="T17" s="35">
        <f>((K17*Q17*R17+M17*N17)*S17)+M17*N17*S17</f>
        <v>5.9099000336857896</v>
      </c>
      <c r="U17" s="29"/>
      <c r="V17" s="34"/>
      <c r="W17" s="106"/>
      <c r="X17" s="34"/>
      <c r="Y17" s="33"/>
      <c r="Z17" s="33"/>
      <c r="AA17" s="115">
        <f>F17</f>
        <v>1.53</v>
      </c>
      <c r="AB17" s="115">
        <f>B17</f>
        <v>1.5</v>
      </c>
      <c r="AC17" s="115">
        <f>AB17</f>
        <v>1.5</v>
      </c>
      <c r="AD17" s="115">
        <f>AA17*AC17</f>
        <v>2.2949999999999999</v>
      </c>
      <c r="AE17" s="115">
        <v>0</v>
      </c>
      <c r="AF17" s="115">
        <f>0.5*AH17*AB17</f>
        <v>1.7212499999999999</v>
      </c>
      <c r="AG17" s="117">
        <f>AE17+AF17</f>
        <v>1.7212499999999999</v>
      </c>
      <c r="AH17" s="129">
        <f>AA17*AC17</f>
        <v>2.2949999999999999</v>
      </c>
    </row>
    <row r="18" spans="1:34" ht="23.45" customHeight="1" x14ac:dyDescent="0.25">
      <c r="A18" s="34">
        <v>2</v>
      </c>
      <c r="B18" s="35">
        <f>J12</f>
        <v>34.269999999999996</v>
      </c>
      <c r="C18" s="106">
        <v>16.899999999999999</v>
      </c>
      <c r="D18" s="35">
        <f t="shared" ref="D18" si="1">ROUND(C18/9.81,3)</f>
        <v>1.7230000000000001</v>
      </c>
      <c r="E18" s="106">
        <v>12.6</v>
      </c>
      <c r="F18" s="35">
        <f t="shared" ref="F18" si="2">ROUND(D18/(1+E18/100),3)</f>
        <v>1.53</v>
      </c>
      <c r="G18" s="35"/>
      <c r="H18" s="35">
        <f>F18-1</f>
        <v>0.53</v>
      </c>
      <c r="I18" s="35">
        <v>1</v>
      </c>
      <c r="J18" s="34">
        <v>25.9</v>
      </c>
      <c r="K18" s="34">
        <v>1.5</v>
      </c>
      <c r="L18" s="34">
        <v>8</v>
      </c>
      <c r="M18" s="34">
        <v>0.5</v>
      </c>
      <c r="N18" s="34">
        <v>0</v>
      </c>
      <c r="O18" s="35">
        <f>O17+B18</f>
        <v>35.769999999999996</v>
      </c>
      <c r="P18" s="35">
        <f t="shared" ref="P18" si="3">O18*(G18+H18)</f>
        <v>18.958099999999998</v>
      </c>
      <c r="Q18" s="35">
        <f t="shared" ref="Q18:Q19" si="4">AG18</f>
        <v>-206.87256849999994</v>
      </c>
      <c r="R18" s="35">
        <f>TAN(RADIANS(J18))</f>
        <v>0.48557391041077913</v>
      </c>
      <c r="S18" s="35">
        <f t="shared" ref="S18" si="5">ROUND((22*B18*I18/7),3)</f>
        <v>107.706</v>
      </c>
      <c r="T18" s="35">
        <f>((K18*Q18*R18+M18*N18)*S18)+M18*N18*S18</f>
        <v>-16228.91207338813</v>
      </c>
      <c r="U18" s="29"/>
      <c r="V18" s="34"/>
      <c r="W18" s="106"/>
      <c r="X18" s="34"/>
      <c r="AA18" s="115">
        <f t="shared" ref="AA18:AA19" si="6">(G18+H18)</f>
        <v>0.53</v>
      </c>
      <c r="AB18" s="115">
        <f t="shared" ref="AB18:AB19" si="7">B18</f>
        <v>34.269999999999996</v>
      </c>
      <c r="AC18" s="115">
        <f>AC17+AB18</f>
        <v>35.769999999999996</v>
      </c>
      <c r="AD18" s="115">
        <f t="shared" ref="AD18:AD19" si="8">AA18*AC18</f>
        <v>18.958099999999998</v>
      </c>
      <c r="AE18" s="115">
        <f>AH17*AB18</f>
        <v>78.649649999999994</v>
      </c>
      <c r="AF18" s="115">
        <f>-(AH18-AH17)*AB18/2</f>
        <v>-285.52221849999995</v>
      </c>
      <c r="AG18" s="117">
        <f t="shared" ref="AG18" si="9">AE18+AF18</f>
        <v>-206.87256849999994</v>
      </c>
      <c r="AH18" s="129">
        <f>AA18*AC18</f>
        <v>18.958099999999998</v>
      </c>
    </row>
    <row r="19" spans="1:34" ht="23.45" customHeight="1" x14ac:dyDescent="0.25">
      <c r="A19" s="34">
        <v>3</v>
      </c>
      <c r="B19" s="35">
        <f>J13</f>
        <v>-30.824999999999996</v>
      </c>
      <c r="C19" s="106">
        <v>16.8</v>
      </c>
      <c r="D19" s="35">
        <f t="shared" ref="D19" si="10">ROUND(C19/9.81,3)</f>
        <v>1.7130000000000001</v>
      </c>
      <c r="E19" s="106">
        <v>13.4</v>
      </c>
      <c r="F19" s="35">
        <f t="shared" ref="F19" si="11">ROUND(D19/(1+E19/100),3)</f>
        <v>1.5109999999999999</v>
      </c>
      <c r="G19" s="35"/>
      <c r="H19" s="35">
        <f>F19-1</f>
        <v>0.5109999999999999</v>
      </c>
      <c r="I19" s="35">
        <v>1</v>
      </c>
      <c r="J19" s="34">
        <v>25.7</v>
      </c>
      <c r="K19" s="34">
        <v>1.5</v>
      </c>
      <c r="L19" s="34">
        <v>11</v>
      </c>
      <c r="M19" s="34">
        <v>0.4</v>
      </c>
      <c r="N19" s="34">
        <v>0</v>
      </c>
      <c r="O19" s="35">
        <f t="shared" ref="O19" si="12">O18+B19</f>
        <v>4.9450000000000003</v>
      </c>
      <c r="P19" s="35">
        <f t="shared" ref="P19" si="13">O19*(G19+H19)</f>
        <v>2.5268949999999997</v>
      </c>
      <c r="Q19" s="35">
        <f t="shared" si="4"/>
        <v>-331.1374854375</v>
      </c>
      <c r="R19" s="35">
        <f t="shared" ref="R19" si="14">TAN(RADIANS(J19))</f>
        <v>0.48126749914370759</v>
      </c>
      <c r="S19" s="35">
        <f t="shared" ref="S19" si="15">ROUND((22*B19*I19/7),3)</f>
        <v>-96.879000000000005</v>
      </c>
      <c r="T19" s="35">
        <f t="shared" ref="T19" si="16">((K19*Q19*R19+M19*N19)*S19)+M19*N19*S19</f>
        <v>23158.785854412345</v>
      </c>
      <c r="U19" s="29"/>
      <c r="V19" s="34"/>
      <c r="W19" s="106"/>
      <c r="X19" s="34"/>
      <c r="AA19" s="115">
        <f t="shared" si="6"/>
        <v>0.5109999999999999</v>
      </c>
      <c r="AB19" s="115">
        <f t="shared" si="7"/>
        <v>-30.824999999999996</v>
      </c>
      <c r="AC19" s="115">
        <f t="shared" ref="AC19" si="17">AC18+AB19</f>
        <v>4.9450000000000003</v>
      </c>
      <c r="AD19" s="115">
        <f t="shared" si="8"/>
        <v>2.5268949999999997</v>
      </c>
      <c r="AE19" s="115">
        <f>AH18*AB19</f>
        <v>-584.38343249999991</v>
      </c>
      <c r="AF19" s="115">
        <f>(AH19-AH18)*AB19/2</f>
        <v>253.24594706249994</v>
      </c>
      <c r="AG19" s="117">
        <f t="shared" ref="AG19" si="18">AE19+AF19</f>
        <v>-331.1374854375</v>
      </c>
      <c r="AH19" s="129">
        <f>AA19*AC19</f>
        <v>2.5268949999999997</v>
      </c>
    </row>
    <row r="20" spans="1:34" ht="17.45" customHeight="1" x14ac:dyDescent="0.25">
      <c r="T20" s="35">
        <f>SUM(T17:T19)</f>
        <v>6935.783681057901</v>
      </c>
    </row>
    <row r="23" spans="1:34" ht="79.900000000000006" customHeight="1" x14ac:dyDescent="0.25"/>
    <row r="24" spans="1:34" x14ac:dyDescent="0.25">
      <c r="A24" s="472" t="s">
        <v>259</v>
      </c>
      <c r="B24" s="472"/>
      <c r="C24" s="472"/>
      <c r="D24" s="472"/>
      <c r="E24" s="472"/>
      <c r="F24" s="472"/>
      <c r="G24" s="472"/>
      <c r="H24" s="472"/>
      <c r="I24" s="472"/>
      <c r="J24" s="472"/>
      <c r="K24" s="472"/>
      <c r="L24" s="472"/>
      <c r="M24" s="472"/>
      <c r="N24" s="472"/>
      <c r="O24" s="472"/>
      <c r="P24" s="472"/>
      <c r="Q24" s="472"/>
      <c r="R24" s="472"/>
      <c r="S24" s="472"/>
      <c r="T24" s="472"/>
    </row>
    <row r="25" spans="1:34" x14ac:dyDescent="0.25">
      <c r="A25" s="472" t="s">
        <v>384</v>
      </c>
      <c r="B25" s="472"/>
      <c r="C25" s="472"/>
      <c r="D25" s="472"/>
      <c r="E25" s="472"/>
      <c r="F25" s="472"/>
      <c r="G25" s="472"/>
      <c r="H25" s="472"/>
      <c r="I25" s="472"/>
      <c r="J25" s="472"/>
      <c r="K25" s="472"/>
      <c r="L25" s="472"/>
      <c r="M25" s="472"/>
      <c r="N25" s="472"/>
      <c r="O25" s="472"/>
      <c r="P25" s="472"/>
      <c r="Q25" s="472"/>
      <c r="R25" s="472"/>
      <c r="S25" s="472"/>
      <c r="T25" s="472"/>
    </row>
    <row r="26" spans="1:34" x14ac:dyDescent="0.25">
      <c r="A26" s="472" t="s">
        <v>385</v>
      </c>
      <c r="B26" s="472"/>
      <c r="C26" s="472"/>
      <c r="D26" s="472"/>
      <c r="E26" s="472"/>
      <c r="F26" s="472"/>
      <c r="G26" s="472"/>
      <c r="H26" s="472"/>
      <c r="I26" s="472"/>
      <c r="J26" s="472"/>
      <c r="K26" s="472"/>
      <c r="L26" s="472"/>
      <c r="M26" s="472"/>
      <c r="N26" s="472"/>
      <c r="O26" s="472"/>
      <c r="P26" s="472"/>
      <c r="Q26" s="472"/>
      <c r="R26" s="472"/>
      <c r="S26" s="472"/>
      <c r="T26" s="472"/>
    </row>
    <row r="44" spans="6:6" ht="63" x14ac:dyDescent="0.25">
      <c r="F44" s="21" t="s">
        <v>351</v>
      </c>
    </row>
    <row r="45" spans="6:6" ht="31.5" x14ac:dyDescent="0.25">
      <c r="F45" s="21" t="s">
        <v>352</v>
      </c>
    </row>
    <row r="60" spans="4:4" ht="37.15" customHeight="1" x14ac:dyDescent="0.25">
      <c r="D60" s="21" t="s">
        <v>353</v>
      </c>
    </row>
  </sheetData>
  <mergeCells count="35">
    <mergeCell ref="E13:H13"/>
    <mergeCell ref="E11:H12"/>
    <mergeCell ref="B12:C12"/>
    <mergeCell ref="M12:T12"/>
    <mergeCell ref="B9:C9"/>
    <mergeCell ref="E9:H9"/>
    <mergeCell ref="B13:C13"/>
    <mergeCell ref="M13:T13"/>
    <mergeCell ref="B10:C10"/>
    <mergeCell ref="E10:H10"/>
    <mergeCell ref="M10:T10"/>
    <mergeCell ref="B11:C11"/>
    <mergeCell ref="M11:T11"/>
    <mergeCell ref="A1:P1"/>
    <mergeCell ref="A3:D3"/>
    <mergeCell ref="E3:P3"/>
    <mergeCell ref="A4:D4"/>
    <mergeCell ref="E4:P4"/>
    <mergeCell ref="A5:D5"/>
    <mergeCell ref="E5:P5"/>
    <mergeCell ref="A6:D6"/>
    <mergeCell ref="E6:P6"/>
    <mergeCell ref="B8:C8"/>
    <mergeCell ref="E8:H8"/>
    <mergeCell ref="K8:T8"/>
    <mergeCell ref="A25:T25"/>
    <mergeCell ref="A26:T26"/>
    <mergeCell ref="A14:C14"/>
    <mergeCell ref="E14:H14"/>
    <mergeCell ref="L14:T14"/>
    <mergeCell ref="AC15:AC16"/>
    <mergeCell ref="AA15:AA16"/>
    <mergeCell ref="AE15:AG15"/>
    <mergeCell ref="AB15:AB16"/>
    <mergeCell ref="A24:T24"/>
  </mergeCells>
  <pageMargins left="0.7" right="0.7" top="0.75" bottom="0.75" header="0.3" footer="0.3"/>
  <pageSetup paperSize="9" scale="78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H42"/>
  <sheetViews>
    <sheetView topLeftCell="A7" zoomScale="110" zoomScaleNormal="110" workbookViewId="0">
      <selection activeCell="M22" sqref="M22"/>
    </sheetView>
  </sheetViews>
  <sheetFormatPr defaultColWidth="8.85546875" defaultRowHeight="15" x14ac:dyDescent="0.25"/>
  <cols>
    <col min="1" max="4" width="8.85546875" style="41"/>
    <col min="5" max="5" width="10.7109375" style="41" customWidth="1"/>
    <col min="6" max="6" width="2.7109375" style="41" customWidth="1"/>
    <col min="7" max="7" width="10.7109375" style="41" customWidth="1"/>
    <col min="8" max="8" width="7" style="41" customWidth="1"/>
    <col min="9" max="9" width="3.140625" style="41" customWidth="1"/>
    <col min="10" max="10" width="9.7109375" style="41" customWidth="1"/>
    <col min="11" max="11" width="7.140625" style="41" customWidth="1"/>
    <col min="12" max="12" width="11.140625" style="41" customWidth="1"/>
    <col min="13" max="15" width="8.85546875" style="41"/>
    <col min="16" max="16" width="13.5703125" style="41" customWidth="1"/>
    <col min="17" max="16384" width="8.85546875" style="41"/>
  </cols>
  <sheetData>
    <row r="1" spans="1:15" ht="52.9" customHeight="1" x14ac:dyDescent="0.25">
      <c r="A1" s="568" t="str">
        <f>'Annexure A'!C3</f>
        <v>Construction of High Level Bridge across Cauvery river ar km 315/6-316/2 of Chennai- Trichy-Dindugal road (SHU-9) in between Trichy and Srirangam</v>
      </c>
      <c r="B1" s="568"/>
      <c r="C1" s="568"/>
      <c r="D1" s="568"/>
      <c r="E1" s="568"/>
      <c r="F1" s="568"/>
      <c r="G1" s="568"/>
      <c r="H1" s="568"/>
      <c r="I1" s="568"/>
      <c r="J1" s="568"/>
      <c r="K1" s="568"/>
      <c r="L1" s="568"/>
    </row>
    <row r="2" spans="1:15" ht="18" customHeight="1" x14ac:dyDescent="0.25">
      <c r="A2" s="569" t="s">
        <v>167</v>
      </c>
      <c r="B2" s="569"/>
      <c r="C2" s="569"/>
      <c r="D2" s="569"/>
      <c r="E2" s="569"/>
      <c r="F2" s="569"/>
      <c r="G2" s="569"/>
      <c r="H2" s="569"/>
      <c r="I2" s="569"/>
      <c r="J2" s="569"/>
      <c r="K2" s="569"/>
      <c r="L2" s="569"/>
    </row>
    <row r="3" spans="1:15" ht="31.9" customHeight="1" x14ac:dyDescent="0.25">
      <c r="A3" s="570" t="str">
        <f>'Annexure A'!D51</f>
        <v>ISMB 450</v>
      </c>
      <c r="B3" s="570"/>
      <c r="C3" s="570"/>
      <c r="D3" s="570"/>
      <c r="E3" s="570"/>
      <c r="F3" s="570"/>
      <c r="G3" s="570"/>
      <c r="H3" s="570"/>
      <c r="I3" s="45"/>
      <c r="J3" s="45"/>
      <c r="K3" s="45"/>
      <c r="L3" s="45"/>
    </row>
    <row r="5" spans="1:15" x14ac:dyDescent="0.25">
      <c r="E5" s="567" t="s">
        <v>366</v>
      </c>
      <c r="F5" s="567"/>
      <c r="G5" s="567"/>
      <c r="H5" s="43" t="s">
        <v>375</v>
      </c>
      <c r="I5" s="41" t="s">
        <v>134</v>
      </c>
      <c r="J5" s="46">
        <v>450</v>
      </c>
      <c r="K5" s="46" t="s">
        <v>202</v>
      </c>
    </row>
    <row r="6" spans="1:15" x14ac:dyDescent="0.25">
      <c r="E6" s="567" t="s">
        <v>367</v>
      </c>
      <c r="F6" s="567"/>
      <c r="G6" s="567"/>
      <c r="H6" s="43" t="s">
        <v>376</v>
      </c>
      <c r="I6" s="41" t="s">
        <v>134</v>
      </c>
      <c r="J6" s="46">
        <v>150</v>
      </c>
      <c r="K6" s="46" t="s">
        <v>202</v>
      </c>
    </row>
    <row r="7" spans="1:15" x14ac:dyDescent="0.25">
      <c r="E7" s="567" t="s">
        <v>368</v>
      </c>
      <c r="F7" s="567"/>
      <c r="G7" s="567"/>
      <c r="H7" s="43" t="s">
        <v>377</v>
      </c>
      <c r="I7" s="41" t="s">
        <v>134</v>
      </c>
      <c r="J7" s="46">
        <v>9.4</v>
      </c>
      <c r="K7" s="46" t="s">
        <v>202</v>
      </c>
    </row>
    <row r="8" spans="1:15" x14ac:dyDescent="0.25">
      <c r="E8" s="567" t="s">
        <v>369</v>
      </c>
      <c r="F8" s="567"/>
      <c r="G8" s="567"/>
      <c r="H8" s="43" t="s">
        <v>378</v>
      </c>
      <c r="I8" s="41" t="s">
        <v>134</v>
      </c>
      <c r="J8" s="46">
        <v>17.399999999999999</v>
      </c>
      <c r="K8" s="46" t="s">
        <v>202</v>
      </c>
    </row>
    <row r="9" spans="1:15" x14ac:dyDescent="0.25">
      <c r="E9" s="567" t="s">
        <v>370</v>
      </c>
      <c r="F9" s="567"/>
      <c r="G9" s="567"/>
      <c r="H9" s="43" t="s">
        <v>198</v>
      </c>
      <c r="I9" s="41" t="s">
        <v>134</v>
      </c>
      <c r="J9" s="46">
        <v>30400</v>
      </c>
      <c r="K9" s="46" t="s">
        <v>200</v>
      </c>
      <c r="O9" s="41">
        <v>557550</v>
      </c>
    </row>
    <row r="10" spans="1:15" x14ac:dyDescent="0.25">
      <c r="E10" s="567" t="s">
        <v>371</v>
      </c>
      <c r="F10" s="567"/>
      <c r="G10" s="567"/>
      <c r="H10" s="43" t="s">
        <v>379</v>
      </c>
      <c r="I10" s="41" t="s">
        <v>134</v>
      </c>
      <c r="J10" s="46">
        <v>834</v>
      </c>
      <c r="K10" s="46" t="s">
        <v>200</v>
      </c>
    </row>
    <row r="11" spans="1:15" x14ac:dyDescent="0.25">
      <c r="E11" s="567" t="s">
        <v>372</v>
      </c>
      <c r="F11" s="567"/>
      <c r="G11" s="567"/>
      <c r="H11" s="43" t="s">
        <v>223</v>
      </c>
      <c r="I11" s="41" t="s">
        <v>134</v>
      </c>
      <c r="J11" s="46">
        <v>1350.7</v>
      </c>
      <c r="K11" s="46" t="s">
        <v>200</v>
      </c>
    </row>
    <row r="12" spans="1:15" x14ac:dyDescent="0.25">
      <c r="E12" s="567" t="s">
        <v>373</v>
      </c>
      <c r="F12" s="567"/>
      <c r="G12" s="567"/>
      <c r="H12" s="43" t="s">
        <v>380</v>
      </c>
      <c r="I12" s="41" t="s">
        <v>134</v>
      </c>
      <c r="J12" s="46">
        <v>111.2</v>
      </c>
      <c r="K12" s="46" t="s">
        <v>200</v>
      </c>
    </row>
    <row r="13" spans="1:15" x14ac:dyDescent="0.25">
      <c r="E13" s="567" t="s">
        <v>374</v>
      </c>
      <c r="F13" s="567"/>
      <c r="G13" s="567"/>
      <c r="H13" s="43" t="s">
        <v>381</v>
      </c>
      <c r="I13" s="41" t="s">
        <v>134</v>
      </c>
      <c r="J13" s="46">
        <v>72.400000000000006</v>
      </c>
      <c r="K13" s="46" t="s">
        <v>382</v>
      </c>
    </row>
    <row r="14" spans="1:15" x14ac:dyDescent="0.25">
      <c r="E14" s="567" t="s">
        <v>398</v>
      </c>
      <c r="F14" s="567"/>
      <c r="G14" s="567"/>
      <c r="H14" s="43" t="s">
        <v>204</v>
      </c>
      <c r="I14" s="41" t="s">
        <v>134</v>
      </c>
      <c r="J14" s="46">
        <v>379.2</v>
      </c>
      <c r="K14" s="41" t="s">
        <v>202</v>
      </c>
    </row>
    <row r="15" spans="1:15" x14ac:dyDescent="0.25">
      <c r="E15" s="567"/>
      <c r="F15" s="567"/>
      <c r="G15" s="567"/>
      <c r="H15" s="46"/>
      <c r="I15" s="46"/>
      <c r="J15" s="46"/>
    </row>
    <row r="16" spans="1:15" x14ac:dyDescent="0.25">
      <c r="E16" s="567"/>
      <c r="F16" s="567"/>
      <c r="G16" s="567"/>
    </row>
    <row r="17" spans="1:34" x14ac:dyDescent="0.25">
      <c r="E17" s="567"/>
      <c r="F17" s="567"/>
      <c r="G17" s="567"/>
      <c r="H17" s="46"/>
      <c r="I17" s="46"/>
      <c r="J17" s="46"/>
      <c r="Q17" s="41">
        <f>AG17</f>
        <v>0</v>
      </c>
      <c r="AA17" s="41">
        <f>F17</f>
        <v>0</v>
      </c>
      <c r="AE17" s="41">
        <v>0</v>
      </c>
      <c r="AF17" s="41">
        <f>0.5*AH17*AB17</f>
        <v>0</v>
      </c>
      <c r="AH17" s="122">
        <f>AA17*AC17</f>
        <v>0</v>
      </c>
    </row>
    <row r="18" spans="1:34" x14ac:dyDescent="0.25">
      <c r="Q18" s="41">
        <f t="shared" ref="Q18:Q19" si="0">AG18</f>
        <v>0</v>
      </c>
      <c r="AE18" s="41">
        <f>AH17*AB18</f>
        <v>0</v>
      </c>
      <c r="AF18" s="41">
        <f>-(AH18-AH17)*AB18/2</f>
        <v>0</v>
      </c>
      <c r="AH18" s="122">
        <f>AA18*AC18</f>
        <v>0</v>
      </c>
    </row>
    <row r="19" spans="1:34" ht="21.6" customHeight="1" x14ac:dyDescent="0.25">
      <c r="A19" s="566"/>
      <c r="B19" s="566"/>
      <c r="E19" s="47"/>
      <c r="F19" s="47"/>
      <c r="G19" s="47"/>
      <c r="H19" s="46"/>
      <c r="I19" s="46"/>
      <c r="J19" s="46"/>
      <c r="Q19" s="41">
        <f t="shared" si="0"/>
        <v>0</v>
      </c>
      <c r="AE19" s="41">
        <f>AH18*AB19</f>
        <v>0</v>
      </c>
      <c r="AF19" s="41">
        <f>(AH19-AH18)*AB19/2</f>
        <v>0</v>
      </c>
      <c r="AH19" s="122">
        <f>AA19*AC19</f>
        <v>0</v>
      </c>
    </row>
    <row r="20" spans="1:34" x14ac:dyDescent="0.25">
      <c r="B20" s="43" t="s">
        <v>198</v>
      </c>
      <c r="C20" s="41" t="s">
        <v>134</v>
      </c>
      <c r="D20" s="46">
        <f>J9</f>
        <v>30400</v>
      </c>
      <c r="E20" s="46" t="s">
        <v>200</v>
      </c>
    </row>
    <row r="21" spans="1:34" x14ac:dyDescent="0.25">
      <c r="B21" s="43" t="s">
        <v>201</v>
      </c>
      <c r="C21" s="41" t="s">
        <v>134</v>
      </c>
      <c r="D21" s="46">
        <f>J5/2/10</f>
        <v>22.5</v>
      </c>
      <c r="E21" s="46" t="s">
        <v>203</v>
      </c>
      <c r="F21" s="47"/>
      <c r="G21" s="47"/>
      <c r="H21" s="46"/>
      <c r="I21" s="46"/>
      <c r="J21" s="46"/>
    </row>
    <row r="22" spans="1:34" x14ac:dyDescent="0.25">
      <c r="B22" s="43" t="s">
        <v>204</v>
      </c>
      <c r="C22" s="41" t="s">
        <v>134</v>
      </c>
      <c r="D22" s="46">
        <f>(J5-J8*2)/10</f>
        <v>41.519999999999996</v>
      </c>
      <c r="E22" s="46" t="s">
        <v>203</v>
      </c>
    </row>
    <row r="23" spans="1:34" x14ac:dyDescent="0.25">
      <c r="B23" s="43" t="s">
        <v>377</v>
      </c>
      <c r="C23" s="41" t="s">
        <v>134</v>
      </c>
      <c r="D23" s="46">
        <f>J7/10</f>
        <v>0.94000000000000006</v>
      </c>
      <c r="E23" s="46" t="s">
        <v>203</v>
      </c>
      <c r="F23" s="47"/>
      <c r="G23" s="47"/>
      <c r="H23" s="46"/>
      <c r="I23" s="46"/>
      <c r="J23" s="46"/>
    </row>
    <row r="24" spans="1:34" x14ac:dyDescent="0.25">
      <c r="B24" s="43" t="s">
        <v>223</v>
      </c>
      <c r="C24" s="41" t="s">
        <v>134</v>
      </c>
      <c r="D24" s="46">
        <f>J11</f>
        <v>1350.7</v>
      </c>
      <c r="E24" s="46" t="s">
        <v>200</v>
      </c>
    </row>
    <row r="25" spans="1:34" x14ac:dyDescent="0.25">
      <c r="B25" s="43" t="s">
        <v>204</v>
      </c>
      <c r="C25" s="41" t="s">
        <v>134</v>
      </c>
      <c r="D25" s="46">
        <f>J14/10</f>
        <v>37.92</v>
      </c>
      <c r="E25" s="46" t="s">
        <v>203</v>
      </c>
    </row>
    <row r="26" spans="1:34" x14ac:dyDescent="0.25">
      <c r="E26" s="47"/>
      <c r="F26" s="47"/>
      <c r="G26" s="47"/>
      <c r="H26" s="46"/>
      <c r="I26" s="46"/>
      <c r="J26" s="46"/>
    </row>
    <row r="27" spans="1:34" ht="14.45" hidden="1" customHeight="1" x14ac:dyDescent="0.25">
      <c r="B27" s="572" t="s">
        <v>272</v>
      </c>
      <c r="C27" s="572" t="s">
        <v>134</v>
      </c>
      <c r="G27" s="48" t="s">
        <v>273</v>
      </c>
      <c r="H27" s="572" t="s">
        <v>134</v>
      </c>
      <c r="I27" s="571" t="e">
        <f>CONCATENATE("2 x ",ROUND(#REF!,0))</f>
        <v>#REF!</v>
      </c>
      <c r="J27" s="571"/>
      <c r="K27" s="571"/>
      <c r="L27" s="45"/>
      <c r="M27" s="45"/>
    </row>
    <row r="28" spans="1:34" ht="14.45" hidden="1" customHeight="1" x14ac:dyDescent="0.25">
      <c r="B28" s="572"/>
      <c r="C28" s="572"/>
      <c r="G28" s="41" t="s">
        <v>274</v>
      </c>
      <c r="H28" s="572"/>
      <c r="I28" s="572" t="e">
        <f>CONCATENATE("(",#REF!,"+2x",#REF!,")")</f>
        <v>#REF!</v>
      </c>
      <c r="J28" s="572"/>
      <c r="K28" s="572"/>
      <c r="L28" s="45"/>
      <c r="M28" s="45"/>
    </row>
    <row r="29" spans="1:34" hidden="1" x14ac:dyDescent="0.25"/>
    <row r="30" spans="1:34" ht="21.6" hidden="1" customHeight="1" x14ac:dyDescent="0.25">
      <c r="H30" s="41" t="s">
        <v>134</v>
      </c>
      <c r="I30" s="572" t="e">
        <f>2*#REF!/(#REF!+2*#REF!)</f>
        <v>#REF!</v>
      </c>
      <c r="J30" s="572"/>
      <c r="K30" s="41" t="s">
        <v>225</v>
      </c>
    </row>
    <row r="31" spans="1:34" ht="21.6" hidden="1" customHeight="1" x14ac:dyDescent="0.25">
      <c r="H31" s="41" t="s">
        <v>134</v>
      </c>
      <c r="I31" s="574">
        <v>6948.46</v>
      </c>
      <c r="J31" s="574"/>
      <c r="K31" s="41" t="s">
        <v>211</v>
      </c>
    </row>
    <row r="34" spans="1:12" ht="15.75" x14ac:dyDescent="0.25">
      <c r="A34" s="573"/>
      <c r="B34" s="573"/>
      <c r="C34" s="573"/>
      <c r="D34" s="40"/>
      <c r="E34" s="40"/>
      <c r="F34" s="40"/>
      <c r="G34" s="40"/>
      <c r="H34" s="40"/>
      <c r="I34" s="573"/>
      <c r="J34" s="573"/>
      <c r="K34" s="15"/>
    </row>
    <row r="35" spans="1:12" ht="15.75" x14ac:dyDescent="0.25">
      <c r="A35" s="573"/>
      <c r="B35" s="573"/>
      <c r="C35" s="573"/>
      <c r="D35" s="40"/>
      <c r="E35" s="40"/>
      <c r="F35" s="40"/>
      <c r="G35" s="40"/>
      <c r="H35" s="40"/>
      <c r="I35" s="573"/>
      <c r="J35" s="573"/>
      <c r="K35" s="15"/>
    </row>
    <row r="36" spans="1:12" ht="15.75" x14ac:dyDescent="0.25">
      <c r="A36" s="573"/>
      <c r="B36" s="573"/>
      <c r="C36" s="573"/>
      <c r="D36" s="40"/>
      <c r="E36" s="40"/>
      <c r="F36" s="40"/>
      <c r="G36" s="40"/>
      <c r="H36" s="40"/>
      <c r="I36" s="573"/>
      <c r="J36" s="573"/>
      <c r="K36" s="573"/>
    </row>
    <row r="37" spans="1:12" ht="15.75" x14ac:dyDescent="0.25">
      <c r="A37" s="573"/>
      <c r="B37" s="573"/>
      <c r="C37" s="573"/>
      <c r="D37" s="573"/>
      <c r="E37" s="40"/>
      <c r="F37" s="40"/>
      <c r="G37" s="40"/>
      <c r="H37" s="573"/>
      <c r="I37" s="573"/>
      <c r="J37" s="573"/>
      <c r="K37" s="573"/>
    </row>
    <row r="38" spans="1:12" ht="15.75" x14ac:dyDescent="0.25">
      <c r="A38" s="573"/>
      <c r="B38" s="573"/>
      <c r="C38" s="573"/>
      <c r="D38" s="573"/>
      <c r="E38" s="40"/>
      <c r="F38" s="40"/>
      <c r="G38" s="40"/>
      <c r="H38" s="573"/>
      <c r="I38" s="573"/>
      <c r="J38" s="573"/>
      <c r="K38" s="573"/>
    </row>
    <row r="39" spans="1:12" ht="15.75" x14ac:dyDescent="0.25">
      <c r="A39" s="573"/>
      <c r="B39" s="573"/>
      <c r="C39" s="573"/>
      <c r="D39" s="573"/>
      <c r="E39" s="1"/>
      <c r="F39" s="1"/>
      <c r="G39" s="1"/>
      <c r="H39" s="573"/>
      <c r="I39" s="573"/>
      <c r="J39" s="573"/>
      <c r="K39" s="573"/>
    </row>
    <row r="40" spans="1:12" ht="15.75" x14ac:dyDescent="0.25">
      <c r="A40" s="575"/>
      <c r="B40" s="575"/>
      <c r="C40" s="575"/>
      <c r="D40" s="575"/>
      <c r="E40" s="575"/>
      <c r="F40" s="575"/>
      <c r="G40" s="575"/>
      <c r="H40" s="575"/>
      <c r="I40" s="575"/>
      <c r="J40" s="575"/>
      <c r="K40" s="575"/>
      <c r="L40" s="575"/>
    </row>
    <row r="41" spans="1:12" ht="15.75" x14ac:dyDescent="0.25">
      <c r="A41" s="575"/>
      <c r="B41" s="575"/>
      <c r="C41" s="575"/>
      <c r="D41" s="575"/>
      <c r="E41" s="575"/>
      <c r="F41" s="575"/>
      <c r="G41" s="575"/>
      <c r="H41" s="575"/>
      <c r="I41" s="575"/>
      <c r="J41" s="575"/>
      <c r="K41" s="575"/>
      <c r="L41" s="575"/>
    </row>
    <row r="42" spans="1:12" ht="15.75" x14ac:dyDescent="0.25">
      <c r="A42" s="575"/>
      <c r="B42" s="575"/>
      <c r="C42" s="575"/>
      <c r="D42" s="575"/>
      <c r="E42" s="575"/>
      <c r="F42" s="575"/>
      <c r="G42" s="575"/>
      <c r="H42" s="575"/>
      <c r="I42" s="575"/>
      <c r="J42" s="575"/>
      <c r="K42" s="575"/>
      <c r="L42" s="575"/>
    </row>
  </sheetData>
  <mergeCells count="40">
    <mergeCell ref="A37:D37"/>
    <mergeCell ref="I36:K36"/>
    <mergeCell ref="A40:L40"/>
    <mergeCell ref="A41:L41"/>
    <mergeCell ref="A42:L42"/>
    <mergeCell ref="A36:C36"/>
    <mergeCell ref="H37:K37"/>
    <mergeCell ref="H38:K38"/>
    <mergeCell ref="H39:K39"/>
    <mergeCell ref="A39:D39"/>
    <mergeCell ref="A38:D38"/>
    <mergeCell ref="I27:K27"/>
    <mergeCell ref="I28:K28"/>
    <mergeCell ref="A34:C34"/>
    <mergeCell ref="I34:J34"/>
    <mergeCell ref="A35:C35"/>
    <mergeCell ref="I35:J35"/>
    <mergeCell ref="I30:J30"/>
    <mergeCell ref="I31:J31"/>
    <mergeCell ref="B27:B28"/>
    <mergeCell ref="C27:C28"/>
    <mergeCell ref="H27:H28"/>
    <mergeCell ref="E6:G6"/>
    <mergeCell ref="A1:L1"/>
    <mergeCell ref="A2:L2"/>
    <mergeCell ref="A3:E3"/>
    <mergeCell ref="F3:H3"/>
    <mergeCell ref="E5:G5"/>
    <mergeCell ref="A19:B19"/>
    <mergeCell ref="E7:G7"/>
    <mergeCell ref="E8:G8"/>
    <mergeCell ref="E9:G9"/>
    <mergeCell ref="E10:G10"/>
    <mergeCell ref="E11:G11"/>
    <mergeCell ref="E12:G12"/>
    <mergeCell ref="E13:G13"/>
    <mergeCell ref="E14:G14"/>
    <mergeCell ref="E15:G15"/>
    <mergeCell ref="E16:G16"/>
    <mergeCell ref="E17:G17"/>
  </mergeCells>
  <pageMargins left="0.7" right="0.7" top="0.75" bottom="0.75" header="0.3" footer="0.3"/>
  <pageSetup paperSize="9" scale="89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H53"/>
  <sheetViews>
    <sheetView zoomScale="110" zoomScaleNormal="110" workbookViewId="0">
      <selection sqref="A1:L1"/>
    </sheetView>
  </sheetViews>
  <sheetFormatPr defaultColWidth="8.85546875" defaultRowHeight="15" x14ac:dyDescent="0.25"/>
  <cols>
    <col min="1" max="4" width="8.85546875" style="41"/>
    <col min="5" max="5" width="10.7109375" style="41" customWidth="1"/>
    <col min="6" max="6" width="2.7109375" style="41" customWidth="1"/>
    <col min="7" max="7" width="10.7109375" style="41" customWidth="1"/>
    <col min="8" max="8" width="7" style="41" customWidth="1"/>
    <col min="9" max="9" width="3.140625" style="41" customWidth="1"/>
    <col min="10" max="10" width="9.7109375" style="41" customWidth="1"/>
    <col min="11" max="11" width="7.140625" style="41" customWidth="1"/>
    <col min="12" max="12" width="11.140625" style="41" customWidth="1"/>
    <col min="13" max="15" width="8.85546875" style="41"/>
    <col min="16" max="16" width="13.5703125" style="41" customWidth="1"/>
    <col min="17" max="16384" width="8.85546875" style="41"/>
  </cols>
  <sheetData>
    <row r="1" spans="1:15" ht="52.9" customHeight="1" x14ac:dyDescent="0.25">
      <c r="A1" s="568" t="str">
        <f>'Annexure A'!C3</f>
        <v>Construction of High Level Bridge across Cauvery river ar km 315/6-316/2 of Chennai- Trichy-Dindugal road (SHU-9) in between Trichy and Srirangam</v>
      </c>
      <c r="B1" s="568"/>
      <c r="C1" s="568"/>
      <c r="D1" s="568"/>
      <c r="E1" s="568"/>
      <c r="F1" s="568"/>
      <c r="G1" s="568"/>
      <c r="H1" s="568"/>
      <c r="I1" s="568"/>
      <c r="J1" s="568"/>
      <c r="K1" s="568"/>
      <c r="L1" s="568"/>
    </row>
    <row r="2" spans="1:15" ht="18" customHeight="1" x14ac:dyDescent="0.25">
      <c r="A2" s="569" t="s">
        <v>261</v>
      </c>
      <c r="B2" s="569"/>
      <c r="C2" s="569"/>
      <c r="D2" s="569"/>
      <c r="E2" s="569"/>
      <c r="F2" s="569"/>
      <c r="G2" s="569"/>
      <c r="H2" s="569"/>
      <c r="I2" s="569"/>
      <c r="J2" s="569"/>
      <c r="K2" s="569"/>
      <c r="L2" s="569"/>
    </row>
    <row r="3" spans="1:15" ht="31.9" customHeight="1" x14ac:dyDescent="0.25">
      <c r="A3" s="570" t="s">
        <v>365</v>
      </c>
      <c r="B3" s="570"/>
      <c r="C3" s="570"/>
      <c r="D3" s="570"/>
      <c r="E3" s="570"/>
      <c r="F3" s="570"/>
      <c r="G3" s="570"/>
      <c r="H3" s="570"/>
      <c r="I3" s="45"/>
      <c r="J3" s="45"/>
      <c r="K3" s="45"/>
      <c r="L3" s="45"/>
    </row>
    <row r="5" spans="1:15" x14ac:dyDescent="0.25">
      <c r="E5" s="567" t="s">
        <v>366</v>
      </c>
      <c r="F5" s="567"/>
      <c r="G5" s="567"/>
      <c r="H5" s="43" t="s">
        <v>375</v>
      </c>
      <c r="I5" s="41" t="s">
        <v>134</v>
      </c>
      <c r="J5" s="46">
        <v>910</v>
      </c>
      <c r="K5" s="46" t="s">
        <v>202</v>
      </c>
    </row>
    <row r="6" spans="1:15" x14ac:dyDescent="0.25">
      <c r="E6" s="567" t="s">
        <v>367</v>
      </c>
      <c r="F6" s="567"/>
      <c r="G6" s="567"/>
      <c r="H6" s="43" t="s">
        <v>376</v>
      </c>
      <c r="I6" s="41" t="s">
        <v>134</v>
      </c>
      <c r="J6" s="46">
        <v>302</v>
      </c>
      <c r="K6" s="46" t="s">
        <v>202</v>
      </c>
    </row>
    <row r="7" spans="1:15" x14ac:dyDescent="0.25">
      <c r="E7" s="567" t="s">
        <v>368</v>
      </c>
      <c r="F7" s="567"/>
      <c r="G7" s="567"/>
      <c r="H7" s="43" t="s">
        <v>377</v>
      </c>
      <c r="I7" s="41" t="s">
        <v>134</v>
      </c>
      <c r="J7" s="46">
        <v>21</v>
      </c>
      <c r="K7" s="46" t="s">
        <v>202</v>
      </c>
    </row>
    <row r="8" spans="1:15" x14ac:dyDescent="0.25">
      <c r="E8" s="567" t="s">
        <v>369</v>
      </c>
      <c r="F8" s="567"/>
      <c r="G8" s="567"/>
      <c r="H8" s="43" t="s">
        <v>378</v>
      </c>
      <c r="I8" s="41" t="s">
        <v>134</v>
      </c>
      <c r="J8" s="46">
        <v>40</v>
      </c>
      <c r="K8" s="46" t="s">
        <v>202</v>
      </c>
    </row>
    <row r="9" spans="1:15" x14ac:dyDescent="0.25">
      <c r="E9" s="567" t="s">
        <v>370</v>
      </c>
      <c r="F9" s="567"/>
      <c r="G9" s="567"/>
      <c r="H9" s="43" t="s">
        <v>198</v>
      </c>
      <c r="I9" s="41" t="s">
        <v>134</v>
      </c>
      <c r="J9" s="46">
        <v>570400</v>
      </c>
      <c r="K9" s="46" t="s">
        <v>200</v>
      </c>
      <c r="O9" s="41">
        <v>557550</v>
      </c>
    </row>
    <row r="10" spans="1:15" x14ac:dyDescent="0.25">
      <c r="E10" s="567" t="s">
        <v>371</v>
      </c>
      <c r="F10" s="567"/>
      <c r="G10" s="567"/>
      <c r="H10" s="43" t="s">
        <v>379</v>
      </c>
      <c r="I10" s="41" t="s">
        <v>134</v>
      </c>
      <c r="J10" s="46">
        <v>18450</v>
      </c>
      <c r="K10" s="46" t="s">
        <v>200</v>
      </c>
    </row>
    <row r="11" spans="1:15" x14ac:dyDescent="0.25">
      <c r="E11" s="567" t="s">
        <v>372</v>
      </c>
      <c r="F11" s="567"/>
      <c r="G11" s="567"/>
      <c r="H11" s="43" t="s">
        <v>223</v>
      </c>
      <c r="I11" s="41" t="s">
        <v>134</v>
      </c>
      <c r="J11" s="46">
        <v>12540</v>
      </c>
      <c r="K11" s="46" t="s">
        <v>200</v>
      </c>
    </row>
    <row r="12" spans="1:15" x14ac:dyDescent="0.25">
      <c r="E12" s="567" t="s">
        <v>373</v>
      </c>
      <c r="F12" s="567"/>
      <c r="G12" s="567"/>
      <c r="H12" s="43" t="s">
        <v>380</v>
      </c>
      <c r="I12" s="41" t="s">
        <v>134</v>
      </c>
      <c r="J12" s="46">
        <v>1222</v>
      </c>
      <c r="K12" s="46" t="s">
        <v>200</v>
      </c>
    </row>
    <row r="13" spans="1:15" x14ac:dyDescent="0.25">
      <c r="E13" s="567" t="s">
        <v>374</v>
      </c>
      <c r="F13" s="567"/>
      <c r="G13" s="567"/>
      <c r="H13" s="43" t="s">
        <v>381</v>
      </c>
      <c r="I13" s="41" t="s">
        <v>134</v>
      </c>
      <c r="J13" s="46">
        <v>333</v>
      </c>
      <c r="K13" s="46" t="s">
        <v>382</v>
      </c>
    </row>
    <row r="14" spans="1:15" x14ac:dyDescent="0.25">
      <c r="E14" s="567"/>
      <c r="F14" s="567"/>
      <c r="G14" s="567"/>
    </row>
    <row r="15" spans="1:15" x14ac:dyDescent="0.25">
      <c r="E15" s="567"/>
      <c r="F15" s="567"/>
      <c r="G15" s="567"/>
      <c r="H15" s="46"/>
      <c r="I15" s="46"/>
      <c r="J15" s="46"/>
    </row>
    <row r="16" spans="1:15" x14ac:dyDescent="0.25">
      <c r="E16" s="567"/>
      <c r="F16" s="567"/>
      <c r="G16" s="567"/>
    </row>
    <row r="17" spans="1:34" x14ac:dyDescent="0.25">
      <c r="E17" s="567"/>
      <c r="F17" s="567"/>
      <c r="G17" s="567"/>
      <c r="H17" s="46"/>
      <c r="I17" s="46"/>
      <c r="J17" s="46"/>
      <c r="Q17" s="41">
        <f>AG17</f>
        <v>0</v>
      </c>
      <c r="AA17" s="41">
        <f>F17</f>
        <v>0</v>
      </c>
      <c r="AE17" s="41">
        <v>0</v>
      </c>
      <c r="AF17" s="41">
        <f>0.5*AH17*AB17</f>
        <v>0</v>
      </c>
      <c r="AH17" s="122">
        <f>AA17*AC17</f>
        <v>0</v>
      </c>
    </row>
    <row r="18" spans="1:34" x14ac:dyDescent="0.25">
      <c r="Q18" s="41">
        <f t="shared" ref="Q18:Q19" si="0">AG18</f>
        <v>0</v>
      </c>
      <c r="AE18" s="41">
        <f>AH17*AB18</f>
        <v>0</v>
      </c>
      <c r="AF18" s="41">
        <f>-(AH18-AH17)*AB18/2</f>
        <v>0</v>
      </c>
      <c r="AH18" s="122">
        <f>AA18*AC18</f>
        <v>0</v>
      </c>
    </row>
    <row r="19" spans="1:34" ht="21.6" customHeight="1" x14ac:dyDescent="0.25">
      <c r="A19" s="566" t="s">
        <v>383</v>
      </c>
      <c r="B19" s="566"/>
      <c r="E19" s="47"/>
      <c r="F19" s="47"/>
      <c r="G19" s="47"/>
      <c r="H19" s="46"/>
      <c r="I19" s="46"/>
      <c r="J19" s="46"/>
      <c r="Q19" s="41">
        <f t="shared" si="0"/>
        <v>0</v>
      </c>
      <c r="AE19" s="41">
        <f>AH18*AB19</f>
        <v>0</v>
      </c>
      <c r="AF19" s="41">
        <f>(AH19-AH18)*AB19/2</f>
        <v>0</v>
      </c>
      <c r="AH19" s="122">
        <f>AA19*AC19</f>
        <v>0</v>
      </c>
    </row>
    <row r="20" spans="1:34" x14ac:dyDescent="0.25">
      <c r="B20" s="43" t="s">
        <v>198</v>
      </c>
      <c r="C20" s="41" t="s">
        <v>134</v>
      </c>
      <c r="D20" s="46">
        <f>J9</f>
        <v>570400</v>
      </c>
      <c r="E20" s="46" t="s">
        <v>200</v>
      </c>
    </row>
    <row r="21" spans="1:34" x14ac:dyDescent="0.25">
      <c r="B21" s="43" t="s">
        <v>201</v>
      </c>
      <c r="C21" s="41" t="s">
        <v>134</v>
      </c>
      <c r="D21" s="46">
        <f>J5/2/10</f>
        <v>45.5</v>
      </c>
      <c r="E21" s="46" t="s">
        <v>203</v>
      </c>
      <c r="F21" s="47"/>
      <c r="G21" s="47"/>
      <c r="H21" s="46"/>
      <c r="I21" s="46"/>
      <c r="J21" s="46"/>
    </row>
    <row r="22" spans="1:34" x14ac:dyDescent="0.25">
      <c r="B22" s="43" t="s">
        <v>204</v>
      </c>
      <c r="C22" s="41" t="s">
        <v>134</v>
      </c>
      <c r="D22" s="46">
        <f>(J5-J8*2)/10</f>
        <v>83</v>
      </c>
      <c r="E22" s="46" t="s">
        <v>203</v>
      </c>
    </row>
    <row r="23" spans="1:34" x14ac:dyDescent="0.25">
      <c r="B23" s="43" t="s">
        <v>377</v>
      </c>
      <c r="C23" s="41" t="s">
        <v>134</v>
      </c>
      <c r="D23" s="46">
        <f>J7/10</f>
        <v>2.1</v>
      </c>
      <c r="E23" s="46" t="s">
        <v>203</v>
      </c>
      <c r="F23" s="47"/>
      <c r="G23" s="47"/>
      <c r="H23" s="46"/>
      <c r="I23" s="46"/>
      <c r="J23" s="46"/>
    </row>
    <row r="24" spans="1:34" x14ac:dyDescent="0.25">
      <c r="B24" s="43" t="s">
        <v>223</v>
      </c>
      <c r="C24" s="41" t="s">
        <v>134</v>
      </c>
      <c r="D24" s="46">
        <f>J11</f>
        <v>12540</v>
      </c>
      <c r="E24" s="46" t="s">
        <v>200</v>
      </c>
    </row>
    <row r="25" spans="1:34" x14ac:dyDescent="0.25">
      <c r="B25" s="43"/>
      <c r="D25" s="46"/>
      <c r="E25" s="46"/>
    </row>
    <row r="26" spans="1:34" x14ac:dyDescent="0.25">
      <c r="E26" s="47"/>
      <c r="F26" s="47"/>
      <c r="G26" s="47"/>
      <c r="H26" s="46"/>
      <c r="I26" s="46"/>
      <c r="J26" s="46"/>
    </row>
    <row r="27" spans="1:34" x14ac:dyDescent="0.25">
      <c r="B27" s="570" t="s">
        <v>268</v>
      </c>
      <c r="C27" s="570"/>
      <c r="D27" s="570"/>
      <c r="E27" s="570"/>
      <c r="F27" s="47"/>
      <c r="G27" s="47"/>
      <c r="H27" s="46"/>
      <c r="I27" s="46"/>
      <c r="J27" s="46"/>
      <c r="M27" s="47"/>
    </row>
    <row r="28" spans="1:34" x14ac:dyDescent="0.25">
      <c r="B28" s="572" t="s">
        <v>248</v>
      </c>
      <c r="C28" s="572"/>
      <c r="D28" s="41" t="s">
        <v>134</v>
      </c>
      <c r="E28" s="570" t="s">
        <v>269</v>
      </c>
      <c r="F28" s="570"/>
      <c r="G28" s="570"/>
      <c r="H28" s="570"/>
      <c r="I28" s="570"/>
      <c r="J28" s="570"/>
    </row>
    <row r="29" spans="1:34" ht="19.899999999999999" customHeight="1" x14ac:dyDescent="0.25">
      <c r="D29" s="41" t="s">
        <v>134</v>
      </c>
      <c r="E29" s="570" t="str">
        <f>N29&amp;" x 1000 x ("&amp;J6/10&amp;" x "&amp;J8/10&amp;" x "&amp;(J5-J8)/2/10&amp;") / "&amp;D20</f>
        <v>105.982 x 1000 x (30.2 x 4 x 43.5) / 570400</v>
      </c>
      <c r="F29" s="570"/>
      <c r="G29" s="570"/>
      <c r="H29" s="570"/>
      <c r="I29" s="570"/>
      <c r="J29" s="570"/>
      <c r="M29" s="122">
        <f>'Load calculation'!K108</f>
        <v>105.98150000000001</v>
      </c>
      <c r="N29" s="122">
        <f>ROUND(M29,3)</f>
        <v>105.982</v>
      </c>
    </row>
    <row r="30" spans="1:34" ht="19.899999999999999" hidden="1" customHeight="1" x14ac:dyDescent="0.25">
      <c r="D30" s="41" t="s">
        <v>134</v>
      </c>
      <c r="E30" s="576" t="e">
        <f>N29*1000*#REF!/10*#REF!/10*#REF!/10/#REF!</f>
        <v>#REF!</v>
      </c>
      <c r="F30" s="576"/>
      <c r="G30" s="576"/>
      <c r="H30" s="576"/>
      <c r="I30" s="576"/>
      <c r="J30" s="576"/>
      <c r="P30" s="41">
        <f>109.958*1000</f>
        <v>109958</v>
      </c>
    </row>
    <row r="31" spans="1:34" x14ac:dyDescent="0.25">
      <c r="D31" s="41" t="s">
        <v>134</v>
      </c>
      <c r="E31" s="122">
        <f>N29*1000*J6/10*J8/10*(J5-J8)/2/10/D20</f>
        <v>976.357316970547</v>
      </c>
      <c r="F31" s="572" t="s">
        <v>270</v>
      </c>
      <c r="G31" s="572"/>
      <c r="H31" s="572"/>
      <c r="I31" s="46"/>
      <c r="J31" s="46"/>
    </row>
    <row r="32" spans="1:34" x14ac:dyDescent="0.25">
      <c r="D32" s="41" t="s">
        <v>134</v>
      </c>
      <c r="E32" s="123">
        <f>E31/2</f>
        <v>488.1786584852735</v>
      </c>
      <c r="F32" s="572" t="s">
        <v>251</v>
      </c>
      <c r="G32" s="572"/>
      <c r="H32" s="572"/>
      <c r="I32" s="46"/>
      <c r="J32" s="46"/>
    </row>
    <row r="33" spans="1:13" x14ac:dyDescent="0.25">
      <c r="E33" s="47"/>
      <c r="F33" s="47"/>
      <c r="G33" s="47"/>
      <c r="H33" s="46"/>
      <c r="I33" s="46"/>
      <c r="J33" s="46"/>
    </row>
    <row r="34" spans="1:13" x14ac:dyDescent="0.25">
      <c r="B34" s="570" t="s">
        <v>252</v>
      </c>
      <c r="C34" s="570"/>
      <c r="D34" s="570"/>
      <c r="E34" s="570"/>
      <c r="F34" s="47"/>
      <c r="G34" s="47"/>
      <c r="H34" s="46"/>
      <c r="I34" s="46"/>
      <c r="J34" s="46"/>
    </row>
    <row r="35" spans="1:13" ht="23.45" customHeight="1" x14ac:dyDescent="0.25">
      <c r="B35" s="570" t="s">
        <v>253</v>
      </c>
      <c r="C35" s="570"/>
      <c r="D35" s="570"/>
      <c r="E35" s="47" t="s">
        <v>134</v>
      </c>
      <c r="F35" s="570" t="str">
        <f>CONCATENATE("0.707 x 0.8 x ",'Load calculation'!D87," x 1.25")</f>
        <v>0.707 x 0.8 x 1108.107672 x 1.25</v>
      </c>
      <c r="G35" s="570"/>
      <c r="H35" s="570"/>
      <c r="I35" s="570"/>
      <c r="J35" s="570"/>
    </row>
    <row r="36" spans="1:13" x14ac:dyDescent="0.25">
      <c r="E36" s="41" t="s">
        <v>134</v>
      </c>
      <c r="F36" s="577">
        <f>ROUND(0.707*0.8*'Load calculation'!D87*1.25,3)</f>
        <v>783.43200000000002</v>
      </c>
      <c r="G36" s="577"/>
      <c r="H36" s="41" t="s">
        <v>271</v>
      </c>
      <c r="I36" s="41" t="s">
        <v>160</v>
      </c>
      <c r="J36" s="41">
        <f>E32</f>
        <v>488.1786584852735</v>
      </c>
      <c r="K36" s="41" t="s">
        <v>271</v>
      </c>
    </row>
    <row r="37" spans="1:13" x14ac:dyDescent="0.25">
      <c r="E37" s="47"/>
      <c r="F37" s="47"/>
      <c r="G37" s="47"/>
      <c r="H37" s="46"/>
      <c r="I37" s="46"/>
      <c r="J37" s="46"/>
    </row>
    <row r="38" spans="1:13" hidden="1" x14ac:dyDescent="0.25">
      <c r="E38" s="47"/>
      <c r="F38" s="47"/>
      <c r="G38" s="47"/>
      <c r="H38" s="46"/>
      <c r="I38" s="46"/>
      <c r="J38" s="46"/>
    </row>
    <row r="40" spans="1:13" ht="14.45" hidden="1" customHeight="1" x14ac:dyDescent="0.25">
      <c r="B40" s="572" t="s">
        <v>272</v>
      </c>
      <c r="C40" s="572" t="s">
        <v>134</v>
      </c>
      <c r="G40" s="48" t="s">
        <v>273</v>
      </c>
      <c r="H40" s="572" t="s">
        <v>134</v>
      </c>
      <c r="I40" s="571" t="e">
        <f>CONCATENATE("2 x ",ROUND(#REF!,0))</f>
        <v>#REF!</v>
      </c>
      <c r="J40" s="571"/>
      <c r="K40" s="571"/>
      <c r="L40" s="45"/>
      <c r="M40" s="45"/>
    </row>
    <row r="41" spans="1:13" ht="14.45" hidden="1" customHeight="1" x14ac:dyDescent="0.25">
      <c r="B41" s="572"/>
      <c r="C41" s="572"/>
      <c r="G41" s="41" t="s">
        <v>274</v>
      </c>
      <c r="H41" s="572"/>
      <c r="I41" s="572" t="e">
        <f>CONCATENATE("(",#REF!,"+2x",#REF!,")")</f>
        <v>#REF!</v>
      </c>
      <c r="J41" s="572"/>
      <c r="K41" s="572"/>
      <c r="L41" s="45"/>
      <c r="M41" s="45"/>
    </row>
    <row r="42" spans="1:13" hidden="1" x14ac:dyDescent="0.25"/>
    <row r="43" spans="1:13" ht="21.6" hidden="1" customHeight="1" x14ac:dyDescent="0.25">
      <c r="H43" s="41" t="s">
        <v>134</v>
      </c>
      <c r="I43" s="572" t="e">
        <f>2*#REF!/(#REF!+2*#REF!)</f>
        <v>#REF!</v>
      </c>
      <c r="J43" s="572"/>
      <c r="K43" s="41" t="s">
        <v>225</v>
      </c>
    </row>
    <row r="44" spans="1:13" ht="21.6" hidden="1" customHeight="1" x14ac:dyDescent="0.25">
      <c r="H44" s="41" t="s">
        <v>134</v>
      </c>
      <c r="I44" s="574">
        <v>6948.46</v>
      </c>
      <c r="J44" s="574"/>
      <c r="K44" s="41" t="s">
        <v>211</v>
      </c>
    </row>
    <row r="47" spans="1:13" ht="15.75" x14ac:dyDescent="0.25">
      <c r="A47" s="573"/>
      <c r="B47" s="573"/>
      <c r="C47" s="573"/>
      <c r="D47" s="40"/>
      <c r="E47" s="40"/>
      <c r="F47" s="40"/>
      <c r="G47" s="40"/>
      <c r="H47" s="40"/>
      <c r="I47" s="573"/>
      <c r="J47" s="573"/>
      <c r="K47" s="15"/>
    </row>
    <row r="48" spans="1:13" ht="15.75" x14ac:dyDescent="0.25">
      <c r="A48" s="573"/>
      <c r="B48" s="573"/>
      <c r="C48" s="573"/>
      <c r="D48" s="40"/>
      <c r="E48" s="40"/>
      <c r="F48" s="40"/>
      <c r="G48" s="40"/>
      <c r="H48" s="40"/>
      <c r="I48" s="573"/>
      <c r="J48" s="573"/>
      <c r="K48" s="15"/>
    </row>
    <row r="49" spans="1:12" ht="15.75" x14ac:dyDescent="0.25">
      <c r="A49" s="573"/>
      <c r="B49" s="573"/>
      <c r="C49" s="573"/>
      <c r="D49" s="40"/>
      <c r="E49" s="40"/>
      <c r="F49" s="40"/>
      <c r="G49" s="40"/>
      <c r="H49" s="40"/>
      <c r="I49" s="573"/>
      <c r="J49" s="573"/>
      <c r="K49" s="15"/>
    </row>
    <row r="50" spans="1:12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2" ht="15.75" x14ac:dyDescent="0.25">
      <c r="A51" s="575" t="s">
        <v>259</v>
      </c>
      <c r="B51" s="575"/>
      <c r="C51" s="575"/>
      <c r="D51" s="575"/>
      <c r="E51" s="575"/>
      <c r="F51" s="575"/>
      <c r="G51" s="575"/>
      <c r="H51" s="575"/>
      <c r="I51" s="575"/>
      <c r="J51" s="575"/>
      <c r="K51" s="575"/>
      <c r="L51" s="575"/>
    </row>
    <row r="52" spans="1:12" ht="15.75" x14ac:dyDescent="0.25">
      <c r="A52" s="575" t="s">
        <v>384</v>
      </c>
      <c r="B52" s="575"/>
      <c r="C52" s="575"/>
      <c r="D52" s="575"/>
      <c r="E52" s="575"/>
      <c r="F52" s="575"/>
      <c r="G52" s="575"/>
      <c r="H52" s="575"/>
      <c r="I52" s="575"/>
      <c r="J52" s="575"/>
      <c r="K52" s="575"/>
      <c r="L52" s="575"/>
    </row>
    <row r="53" spans="1:12" ht="15.75" x14ac:dyDescent="0.25">
      <c r="A53" s="575" t="s">
        <v>385</v>
      </c>
      <c r="B53" s="575"/>
      <c r="C53" s="575"/>
      <c r="D53" s="575"/>
      <c r="E53" s="575"/>
      <c r="F53" s="575"/>
      <c r="G53" s="575"/>
      <c r="H53" s="575"/>
      <c r="I53" s="575"/>
      <c r="J53" s="575"/>
      <c r="K53" s="575"/>
      <c r="L53" s="575"/>
    </row>
  </sheetData>
  <mergeCells count="45">
    <mergeCell ref="A1:L1"/>
    <mergeCell ref="F35:J35"/>
    <mergeCell ref="E12:G12"/>
    <mergeCell ref="B27:E27"/>
    <mergeCell ref="B28:C28"/>
    <mergeCell ref="E28:J28"/>
    <mergeCell ref="E29:J29"/>
    <mergeCell ref="E11:G11"/>
    <mergeCell ref="E13:G13"/>
    <mergeCell ref="E7:G7"/>
    <mergeCell ref="E9:G9"/>
    <mergeCell ref="E10:G10"/>
    <mergeCell ref="E8:G8"/>
    <mergeCell ref="A49:C49"/>
    <mergeCell ref="I49:J49"/>
    <mergeCell ref="A2:L2"/>
    <mergeCell ref="A3:E3"/>
    <mergeCell ref="F3:H3"/>
    <mergeCell ref="I43:J43"/>
    <mergeCell ref="I44:J44"/>
    <mergeCell ref="A47:C47"/>
    <mergeCell ref="I47:J47"/>
    <mergeCell ref="A48:C48"/>
    <mergeCell ref="I48:J48"/>
    <mergeCell ref="F36:G36"/>
    <mergeCell ref="B40:B41"/>
    <mergeCell ref="C40:C41"/>
    <mergeCell ref="E5:G5"/>
    <mergeCell ref="E6:G6"/>
    <mergeCell ref="A53:L53"/>
    <mergeCell ref="A52:L52"/>
    <mergeCell ref="A51:L51"/>
    <mergeCell ref="E14:G14"/>
    <mergeCell ref="E15:G15"/>
    <mergeCell ref="E16:G16"/>
    <mergeCell ref="E17:G17"/>
    <mergeCell ref="A19:B19"/>
    <mergeCell ref="H40:H41"/>
    <mergeCell ref="I40:K40"/>
    <mergeCell ref="I41:K41"/>
    <mergeCell ref="E30:J30"/>
    <mergeCell ref="F31:H31"/>
    <mergeCell ref="F32:H32"/>
    <mergeCell ref="B34:E34"/>
    <mergeCell ref="B35:D35"/>
  </mergeCells>
  <pageMargins left="0.7" right="0.7" top="0.75" bottom="0.75" header="0.3" footer="0.3"/>
  <pageSetup paperSize="9" scale="89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93"/>
  <sheetViews>
    <sheetView topLeftCell="A10" zoomScale="90" zoomScaleNormal="90" workbookViewId="0">
      <selection activeCell="Q46" sqref="Q46"/>
    </sheetView>
  </sheetViews>
  <sheetFormatPr defaultColWidth="8.85546875" defaultRowHeight="15" x14ac:dyDescent="0.25"/>
  <cols>
    <col min="1" max="4" width="8.85546875" style="41"/>
    <col min="5" max="5" width="10.7109375" style="41" customWidth="1"/>
    <col min="6" max="6" width="2.7109375" style="41" customWidth="1"/>
    <col min="7" max="7" width="10.7109375" style="41" customWidth="1"/>
    <col min="8" max="8" width="8.85546875" style="41"/>
    <col min="9" max="9" width="7.42578125" style="41" customWidth="1"/>
    <col min="10" max="10" width="9.7109375" style="41" customWidth="1"/>
    <col min="11" max="12" width="7.140625" style="41" customWidth="1"/>
    <col min="13" max="13" width="11.140625" style="41" customWidth="1"/>
    <col min="14" max="16" width="8.85546875" style="41"/>
    <col min="17" max="17" width="13.5703125" style="41" customWidth="1"/>
    <col min="18" max="16384" width="8.85546875" style="41"/>
  </cols>
  <sheetData>
    <row r="1" spans="1:17" ht="42.6" customHeight="1" x14ac:dyDescent="0.25">
      <c r="A1" s="578" t="str">
        <f>'Annexure A'!C3</f>
        <v>Construction of High Level Bridge across Cauvery river ar km 315/6-316/2 of Chennai- Trichy-Dindugal road (SHU-9) in between Trichy and Srirangam</v>
      </c>
      <c r="B1" s="578"/>
      <c r="C1" s="578"/>
      <c r="D1" s="578"/>
      <c r="E1" s="578"/>
      <c r="F1" s="578"/>
      <c r="G1" s="578"/>
      <c r="H1" s="578"/>
      <c r="I1" s="578"/>
      <c r="J1" s="578"/>
      <c r="K1" s="578"/>
      <c r="L1" s="578"/>
      <c r="M1" s="578"/>
    </row>
    <row r="2" spans="1:17" ht="18" customHeight="1" x14ac:dyDescent="0.25">
      <c r="A2" s="534" t="s">
        <v>165</v>
      </c>
      <c r="B2" s="534"/>
      <c r="C2" s="135"/>
      <c r="D2" s="135"/>
      <c r="E2" s="135"/>
      <c r="F2" s="135"/>
      <c r="G2" s="135"/>
      <c r="H2" s="135"/>
    </row>
    <row r="3" spans="1:17" ht="32.450000000000003" customHeight="1" x14ac:dyDescent="0.25">
      <c r="A3" s="570" t="str">
        <f>'Load calculation'!C40</f>
        <v xml:space="preserve">WPB-800x300x262.33 with web plate on both sides ( 12 mm thick Ms plate) &amp; Bottom Flange plate of 30 mm thick 330 mm wide. </v>
      </c>
      <c r="B3" s="570"/>
      <c r="C3" s="570"/>
      <c r="D3" s="570"/>
      <c r="E3" s="570"/>
      <c r="F3" s="570"/>
      <c r="G3" s="570"/>
      <c r="H3" s="570"/>
      <c r="I3" s="570"/>
    </row>
    <row r="4" spans="1:17" ht="6.6" customHeight="1" x14ac:dyDescent="0.25"/>
    <row r="5" spans="1:17" x14ac:dyDescent="0.25">
      <c r="I5" s="46"/>
    </row>
    <row r="6" spans="1:17" ht="15.75" x14ac:dyDescent="0.25">
      <c r="B6" s="42" t="s">
        <v>239</v>
      </c>
      <c r="C6" s="41">
        <f>E19</f>
        <v>300</v>
      </c>
      <c r="D6" s="46"/>
      <c r="H6" s="43">
        <v>33</v>
      </c>
    </row>
    <row r="7" spans="1:17" ht="15.75" x14ac:dyDescent="0.25">
      <c r="B7" s="41" t="s">
        <v>262</v>
      </c>
      <c r="C7" s="41">
        <f>H6</f>
        <v>33</v>
      </c>
    </row>
    <row r="8" spans="1:17" ht="15.75" x14ac:dyDescent="0.25">
      <c r="B8" s="41" t="s">
        <v>263</v>
      </c>
      <c r="C8" s="41">
        <f>E8</f>
        <v>41.5</v>
      </c>
      <c r="E8" s="43">
        <v>41.5</v>
      </c>
    </row>
    <row r="9" spans="1:17" ht="15.75" x14ac:dyDescent="0.25">
      <c r="B9" s="42" t="s">
        <v>241</v>
      </c>
      <c r="C9" s="41">
        <f>I10</f>
        <v>800</v>
      </c>
    </row>
    <row r="10" spans="1:17" ht="15.75" x14ac:dyDescent="0.25">
      <c r="B10" s="41" t="s">
        <v>264</v>
      </c>
      <c r="C10" s="41">
        <f>H10</f>
        <v>734</v>
      </c>
      <c r="H10" s="41">
        <v>734</v>
      </c>
      <c r="I10" s="41">
        <v>800</v>
      </c>
    </row>
    <row r="11" spans="1:17" ht="15.75" x14ac:dyDescent="0.25">
      <c r="B11" s="42" t="s">
        <v>265</v>
      </c>
      <c r="C11" s="41">
        <f>H10/2</f>
        <v>367</v>
      </c>
      <c r="G11" s="139"/>
    </row>
    <row r="12" spans="1:17" ht="15.75" x14ac:dyDescent="0.25">
      <c r="B12" s="42" t="s">
        <v>243</v>
      </c>
      <c r="C12" s="41">
        <f>I10/2</f>
        <v>400</v>
      </c>
    </row>
    <row r="13" spans="1:17" ht="15.75" x14ac:dyDescent="0.25">
      <c r="B13" s="42" t="s">
        <v>171</v>
      </c>
      <c r="C13" s="41">
        <f>(H6+H10)/2</f>
        <v>383.5</v>
      </c>
    </row>
    <row r="15" spans="1:17" ht="1.1499999999999999" customHeight="1" x14ac:dyDescent="0.25"/>
    <row r="16" spans="1:17" x14ac:dyDescent="0.25">
      <c r="Q16" s="44"/>
    </row>
    <row r="17" spans="2:20" ht="9" customHeight="1" x14ac:dyDescent="0.25"/>
    <row r="18" spans="2:20" ht="3" customHeight="1" x14ac:dyDescent="0.25"/>
    <row r="19" spans="2:20" x14ac:dyDescent="0.25">
      <c r="E19" s="572">
        <v>300</v>
      </c>
      <c r="F19" s="572"/>
      <c r="G19" s="572"/>
    </row>
    <row r="20" spans="2:20" x14ac:dyDescent="0.25">
      <c r="I20" s="41">
        <v>30</v>
      </c>
    </row>
    <row r="21" spans="2:20" x14ac:dyDescent="0.25">
      <c r="E21" s="572">
        <v>330</v>
      </c>
      <c r="F21" s="572"/>
      <c r="G21" s="572"/>
    </row>
    <row r="22" spans="2:20" ht="8.4499999999999993" customHeight="1" x14ac:dyDescent="0.25"/>
    <row r="23" spans="2:20" ht="14.45" customHeight="1" x14ac:dyDescent="0.25">
      <c r="B23" s="572" t="s">
        <v>266</v>
      </c>
      <c r="C23" s="572" t="s">
        <v>134</v>
      </c>
      <c r="D23" s="571" t="str">
        <f>E19/10&amp;"*"&amp;I10/10&amp;"*"&amp;I10/10&amp;"*"&amp;I10/10</f>
        <v>30*80*80*80</v>
      </c>
      <c r="E23" s="571"/>
      <c r="F23" s="571"/>
      <c r="G23" s="571"/>
      <c r="H23" s="572" t="s">
        <v>192</v>
      </c>
      <c r="I23" s="571" t="str">
        <f>"("&amp;E19/10&amp;"-"&amp;E8/10&amp;")"&amp;"*("&amp;I10/10&amp;"-2*"&amp;H6/10&amp;")^3"</f>
        <v>(30-4.15)*(80-2*3.3)^3</v>
      </c>
      <c r="J23" s="571"/>
      <c r="K23" s="571"/>
      <c r="L23" s="572" t="s">
        <v>515</v>
      </c>
      <c r="M23" s="48" t="s">
        <v>514</v>
      </c>
      <c r="N23" s="45"/>
      <c r="O23" s="45"/>
    </row>
    <row r="24" spans="2:20" ht="14.45" customHeight="1" x14ac:dyDescent="0.25">
      <c r="B24" s="572"/>
      <c r="C24" s="572"/>
      <c r="D24" s="579">
        <v>12</v>
      </c>
      <c r="E24" s="579"/>
      <c r="F24" s="579"/>
      <c r="G24" s="579"/>
      <c r="H24" s="572"/>
      <c r="I24" s="579">
        <v>12</v>
      </c>
      <c r="J24" s="579"/>
      <c r="K24" s="579"/>
      <c r="L24" s="572"/>
      <c r="M24" s="41">
        <v>12</v>
      </c>
      <c r="N24" s="45"/>
      <c r="O24" s="45"/>
    </row>
    <row r="25" spans="2:20" ht="14.45" customHeight="1" x14ac:dyDescent="0.25">
      <c r="B25" s="572" t="s">
        <v>266</v>
      </c>
      <c r="C25" s="572" t="s">
        <v>134</v>
      </c>
      <c r="D25" s="583">
        <f>ROUND(E19*I10*I10*I10/10000,1)</f>
        <v>15360000</v>
      </c>
      <c r="E25" s="583"/>
      <c r="F25" s="583"/>
      <c r="G25" s="583"/>
      <c r="H25" s="572" t="s">
        <v>192</v>
      </c>
      <c r="I25" s="583">
        <f>ROUND((E19-E8)*(I10-2*H6)*(I10-2*H6)*(I10-2*H6)/10000,1)</f>
        <v>10222302.5</v>
      </c>
      <c r="J25" s="583"/>
      <c r="K25" s="583"/>
      <c r="L25" s="572" t="s">
        <v>515</v>
      </c>
      <c r="M25" s="48">
        <f>(33*3*3*3)</f>
        <v>891</v>
      </c>
      <c r="N25" s="45"/>
      <c r="O25" s="45"/>
    </row>
    <row r="26" spans="2:20" ht="14.45" customHeight="1" x14ac:dyDescent="0.25">
      <c r="B26" s="572"/>
      <c r="C26" s="572"/>
      <c r="D26" s="579">
        <v>12</v>
      </c>
      <c r="E26" s="579"/>
      <c r="F26" s="579"/>
      <c r="G26" s="579"/>
      <c r="H26" s="572"/>
      <c r="I26" s="579">
        <v>12</v>
      </c>
      <c r="J26" s="579"/>
      <c r="K26" s="579"/>
      <c r="L26" s="572"/>
      <c r="M26" s="41">
        <v>12</v>
      </c>
      <c r="N26" s="45"/>
      <c r="O26" s="45"/>
    </row>
    <row r="27" spans="2:20" ht="25.15" customHeight="1" x14ac:dyDescent="0.25">
      <c r="D27" s="586">
        <f>ROUND(D25/D26,1)</f>
        <v>1280000</v>
      </c>
      <c r="E27" s="586"/>
      <c r="F27" s="586"/>
      <c r="G27" s="586"/>
      <c r="H27" s="41" t="s">
        <v>192</v>
      </c>
      <c r="I27" s="586">
        <f>ROUND(I25/I26,1)</f>
        <v>851858.5</v>
      </c>
      <c r="J27" s="586"/>
      <c r="K27" s="586"/>
      <c r="L27" s="182" t="s">
        <v>515</v>
      </c>
      <c r="M27" s="46">
        <f>(891)/12</f>
        <v>74.25</v>
      </c>
      <c r="T27" s="41">
        <f>J28/C12</f>
        <v>1070.5394999999999</v>
      </c>
    </row>
    <row r="28" spans="2:20" ht="19.899999999999999" customHeight="1" x14ac:dyDescent="0.25">
      <c r="D28" s="580"/>
      <c r="E28" s="572"/>
      <c r="H28" s="41" t="s">
        <v>134</v>
      </c>
      <c r="J28" s="582">
        <f>ROUND(D27-I27+M27,1)</f>
        <v>428215.8</v>
      </c>
      <c r="K28" s="582"/>
      <c r="L28" s="46" t="s">
        <v>200</v>
      </c>
      <c r="M28" s="46" t="s">
        <v>200</v>
      </c>
      <c r="Q28" s="41">
        <f>2*36*310+22*1000</f>
        <v>44320</v>
      </c>
      <c r="R28" s="41">
        <v>7850</v>
      </c>
      <c r="S28" s="41">
        <f>Q28*R28/1000000</f>
        <v>347.91199999999998</v>
      </c>
    </row>
    <row r="29" spans="2:20" ht="4.1500000000000004" customHeight="1" x14ac:dyDescent="0.25"/>
    <row r="30" spans="2:20" ht="19.899999999999999" customHeight="1" x14ac:dyDescent="0.25">
      <c r="B30" s="572" t="s">
        <v>363</v>
      </c>
      <c r="C30" s="572"/>
      <c r="D30" s="41" t="s">
        <v>134</v>
      </c>
      <c r="E30" s="572" t="s">
        <v>364</v>
      </c>
      <c r="F30" s="572"/>
      <c r="G30" s="572"/>
      <c r="H30" s="572"/>
      <c r="I30" s="572"/>
      <c r="J30" s="45"/>
      <c r="K30" s="45"/>
      <c r="L30" s="45"/>
      <c r="M30" s="45"/>
    </row>
    <row r="31" spans="2:20" ht="19.899999999999999" customHeight="1" x14ac:dyDescent="0.25">
      <c r="D31" s="41" t="s">
        <v>134</v>
      </c>
      <c r="E31" s="572" t="str">
        <f>J28&amp;" / "&amp;C12/10</f>
        <v>428215.8 / 40</v>
      </c>
      <c r="F31" s="572"/>
      <c r="G31" s="572"/>
      <c r="H31" s="572"/>
      <c r="I31" s="572"/>
      <c r="J31" s="45"/>
      <c r="K31" s="45"/>
      <c r="L31" s="45"/>
      <c r="M31" s="45"/>
    </row>
    <row r="32" spans="2:20" x14ac:dyDescent="0.25">
      <c r="D32" s="41" t="s">
        <v>134</v>
      </c>
      <c r="E32" s="581">
        <f>100*J28/C12/10</f>
        <v>10705.395</v>
      </c>
      <c r="F32" s="581"/>
      <c r="G32" s="581"/>
      <c r="H32" s="570" t="s">
        <v>211</v>
      </c>
      <c r="I32" s="570"/>
      <c r="J32" s="570"/>
    </row>
    <row r="33" spans="2:17" ht="2.4500000000000002" customHeight="1" x14ac:dyDescent="0.25">
      <c r="E33" s="47"/>
      <c r="F33" s="47"/>
      <c r="G33" s="47"/>
      <c r="H33" s="46"/>
      <c r="I33" s="46"/>
      <c r="J33" s="46"/>
    </row>
    <row r="34" spans="2:17" ht="7.15" customHeight="1" x14ac:dyDescent="0.25"/>
    <row r="35" spans="2:17" ht="19.5" customHeight="1" x14ac:dyDescent="0.25">
      <c r="B35" s="572" t="s">
        <v>267</v>
      </c>
      <c r="C35" s="572"/>
      <c r="D35" s="41" t="s">
        <v>134</v>
      </c>
      <c r="E35" s="572" t="str">
        <f>"(2*"&amp;H6&amp;"*"&amp;E19&amp;")"&amp;" + "&amp;"("&amp;E8&amp;"*"&amp;H10&amp;")"&amp;" + "&amp;"("&amp;E21&amp;"*"&amp;I20&amp;")} * 7850 / 1000000"</f>
        <v>(2*33*300) + (41.5*734) + (330*30)} * 7850 / 1000000</v>
      </c>
      <c r="F35" s="572"/>
      <c r="G35" s="572"/>
      <c r="H35" s="572"/>
      <c r="I35" s="572"/>
      <c r="J35" s="572"/>
      <c r="K35" s="45"/>
      <c r="L35" s="45"/>
      <c r="M35" s="45"/>
    </row>
    <row r="36" spans="2:17" x14ac:dyDescent="0.25">
      <c r="D36" s="41" t="s">
        <v>134</v>
      </c>
      <c r="E36" s="577">
        <f>ROUND((2*H6*E19+E8*H10+E21*I20)*7850/1000000,3)</f>
        <v>472.26400000000001</v>
      </c>
      <c r="F36" s="577"/>
      <c r="G36" s="577"/>
      <c r="H36" s="570" t="s">
        <v>246</v>
      </c>
      <c r="I36" s="570"/>
      <c r="J36" s="570"/>
    </row>
    <row r="37" spans="2:17" ht="5.45" customHeight="1" x14ac:dyDescent="0.25">
      <c r="E37" s="47"/>
      <c r="F37" s="47"/>
      <c r="G37" s="47"/>
      <c r="H37" s="46"/>
      <c r="I37" s="46"/>
      <c r="J37" s="46"/>
    </row>
    <row r="38" spans="2:17" x14ac:dyDescent="0.25">
      <c r="B38" s="570" t="s">
        <v>268</v>
      </c>
      <c r="C38" s="570"/>
      <c r="D38" s="570"/>
      <c r="E38" s="570"/>
      <c r="F38" s="47"/>
      <c r="G38" s="47"/>
      <c r="H38" s="46"/>
      <c r="I38" s="46"/>
      <c r="J38" s="46"/>
      <c r="N38" s="47"/>
    </row>
    <row r="39" spans="2:17" x14ac:dyDescent="0.25">
      <c r="B39" s="572" t="s">
        <v>248</v>
      </c>
      <c r="C39" s="572"/>
      <c r="D39" s="41" t="s">
        <v>134</v>
      </c>
      <c r="E39" s="570" t="s">
        <v>269</v>
      </c>
      <c r="F39" s="570"/>
      <c r="G39" s="570"/>
      <c r="H39" s="570"/>
      <c r="I39" s="570"/>
      <c r="J39" s="570"/>
    </row>
    <row r="40" spans="2:17" ht="19.899999999999999" customHeight="1" x14ac:dyDescent="0.25">
      <c r="D40" s="41" t="s">
        <v>134</v>
      </c>
      <c r="E40" s="570" t="str">
        <f>O40&amp;" x 1000 x ("&amp;C6/10&amp;" x "&amp;C7/10&amp;" x "&amp;C13/10&amp;") / "&amp;J28</f>
        <v>105.982 x 1000 x (30 x 3.3 x 38.35) / 428215.8</v>
      </c>
      <c r="F40" s="570"/>
      <c r="G40" s="570"/>
      <c r="H40" s="570"/>
      <c r="I40" s="570"/>
      <c r="J40" s="570"/>
      <c r="N40" s="122">
        <f>'Load calculation'!K108</f>
        <v>105.98150000000001</v>
      </c>
      <c r="O40" s="122">
        <f>ROUND(N40,3)</f>
        <v>105.982</v>
      </c>
    </row>
    <row r="41" spans="2:17" ht="19.899999999999999" hidden="1" customHeight="1" x14ac:dyDescent="0.25">
      <c r="D41" s="41" t="s">
        <v>134</v>
      </c>
      <c r="E41" s="576">
        <f>O40*1000*C6/10*C7/10*C13/10/J28</f>
        <v>939.65836921477444</v>
      </c>
      <c r="F41" s="576"/>
      <c r="G41" s="576"/>
      <c r="H41" s="576"/>
      <c r="I41" s="576"/>
      <c r="J41" s="576"/>
      <c r="Q41" s="41">
        <f>109.958*1000</f>
        <v>109958</v>
      </c>
    </row>
    <row r="42" spans="2:17" x14ac:dyDescent="0.25">
      <c r="D42" s="41" t="s">
        <v>134</v>
      </c>
      <c r="E42" s="122">
        <f>O40*1000*C6/10*C7/10*C13/10/J28</f>
        <v>939.65836921477444</v>
      </c>
      <c r="F42" s="572" t="s">
        <v>270</v>
      </c>
      <c r="G42" s="572"/>
      <c r="H42" s="572"/>
      <c r="I42" s="46"/>
      <c r="J42" s="46"/>
    </row>
    <row r="43" spans="2:17" x14ac:dyDescent="0.25">
      <c r="D43" s="41" t="s">
        <v>134</v>
      </c>
      <c r="E43" s="123">
        <f>E42/2</f>
        <v>469.82918460738722</v>
      </c>
      <c r="F43" s="572" t="s">
        <v>251</v>
      </c>
      <c r="G43" s="572"/>
      <c r="H43" s="572"/>
      <c r="I43" s="46"/>
      <c r="J43" s="46"/>
    </row>
    <row r="44" spans="2:17" ht="5.45" customHeight="1" x14ac:dyDescent="0.25">
      <c r="E44" s="47"/>
      <c r="F44" s="47"/>
      <c r="G44" s="47"/>
      <c r="H44" s="46"/>
      <c r="I44" s="46"/>
      <c r="J44" s="46"/>
    </row>
    <row r="45" spans="2:17" x14ac:dyDescent="0.25">
      <c r="B45" s="570" t="s">
        <v>252</v>
      </c>
      <c r="C45" s="570"/>
      <c r="D45" s="570"/>
      <c r="E45" s="570"/>
      <c r="F45" s="47"/>
      <c r="G45" s="47"/>
      <c r="H45" s="46"/>
      <c r="I45" s="46"/>
      <c r="J45" s="46"/>
    </row>
    <row r="46" spans="2:17" ht="23.45" customHeight="1" x14ac:dyDescent="0.25">
      <c r="B46" s="570" t="s">
        <v>253</v>
      </c>
      <c r="C46" s="570"/>
      <c r="D46" s="570"/>
      <c r="E46" s="47" t="s">
        <v>134</v>
      </c>
      <c r="F46" s="570" t="str">
        <f>CONCATENATE("0.707 x 0.8 x ",'Load calculation'!D87," x 1.25")</f>
        <v>0.707 x 0.8 x 1108.107672 x 1.25</v>
      </c>
      <c r="G46" s="570"/>
      <c r="H46" s="570"/>
      <c r="I46" s="570"/>
      <c r="J46" s="570"/>
    </row>
    <row r="47" spans="2:17" x14ac:dyDescent="0.25">
      <c r="E47" s="41" t="s">
        <v>134</v>
      </c>
      <c r="F47" s="577">
        <f>ROUND(0.707*0.8*'Load calculation'!D87*1.25,3)</f>
        <v>783.43200000000002</v>
      </c>
      <c r="G47" s="577"/>
      <c r="H47" s="41" t="s">
        <v>271</v>
      </c>
      <c r="I47" s="41" t="s">
        <v>160</v>
      </c>
      <c r="J47" s="41">
        <f>E43</f>
        <v>469.82918460738722</v>
      </c>
      <c r="K47" s="41" t="s">
        <v>271</v>
      </c>
    </row>
    <row r="48" spans="2:17" ht="6.6" customHeight="1" x14ac:dyDescent="0.25"/>
    <row r="49" spans="2:20" ht="9" hidden="1" customHeight="1" x14ac:dyDescent="0.25">
      <c r="B49" s="572" t="s">
        <v>266</v>
      </c>
      <c r="C49" s="572" t="s">
        <v>134</v>
      </c>
      <c r="D49" s="572" t="s">
        <v>402</v>
      </c>
      <c r="E49" s="572"/>
      <c r="F49" s="572"/>
      <c r="G49" s="572"/>
      <c r="H49" s="572" t="s">
        <v>176</v>
      </c>
      <c r="I49" s="585" t="str">
        <f>"2 * "&amp;E19/10&amp;" * "&amp;I5/10&amp;" * "&amp;(I11/2/10+I5/10/2)&amp;"^2"</f>
        <v>2 * 30 * 0 * 0^2</v>
      </c>
      <c r="J49" s="585"/>
      <c r="K49" s="585"/>
      <c r="L49" s="228"/>
      <c r="M49" s="572"/>
      <c r="N49" s="45"/>
      <c r="O49" s="45"/>
    </row>
    <row r="50" spans="2:20" ht="9" hidden="1" customHeight="1" x14ac:dyDescent="0.25">
      <c r="B50" s="572"/>
      <c r="C50" s="572"/>
      <c r="D50" s="572"/>
      <c r="E50" s="572"/>
      <c r="F50" s="572"/>
      <c r="G50" s="572"/>
      <c r="H50" s="572"/>
      <c r="I50" s="585"/>
      <c r="J50" s="585"/>
      <c r="K50" s="585"/>
      <c r="L50" s="228"/>
      <c r="M50" s="572"/>
      <c r="N50" s="45"/>
      <c r="O50" s="45"/>
    </row>
    <row r="51" spans="2:20" ht="9" hidden="1" customHeight="1" x14ac:dyDescent="0.25">
      <c r="B51" s="572" t="s">
        <v>266</v>
      </c>
      <c r="C51" s="572" t="s">
        <v>134</v>
      </c>
      <c r="D51" s="587">
        <v>91813</v>
      </c>
      <c r="E51" s="587"/>
      <c r="F51" s="587"/>
      <c r="G51" s="587"/>
      <c r="H51" s="572" t="s">
        <v>176</v>
      </c>
      <c r="I51" s="586">
        <f>2*E19/10*I5/10*((I11/2/10+I5/10/2)^2)</f>
        <v>0</v>
      </c>
      <c r="J51" s="586"/>
      <c r="K51" s="586"/>
      <c r="L51" s="182"/>
      <c r="M51" s="572"/>
      <c r="N51" s="45"/>
      <c r="O51" s="45"/>
    </row>
    <row r="52" spans="2:20" ht="9" hidden="1" customHeight="1" x14ac:dyDescent="0.25">
      <c r="B52" s="572"/>
      <c r="C52" s="572"/>
      <c r="D52" s="587"/>
      <c r="E52" s="587"/>
      <c r="F52" s="587"/>
      <c r="G52" s="587"/>
      <c r="H52" s="572"/>
      <c r="I52" s="586"/>
      <c r="J52" s="586"/>
      <c r="K52" s="586"/>
      <c r="L52" s="182"/>
      <c r="M52" s="572"/>
      <c r="N52" s="45"/>
      <c r="O52" s="45"/>
    </row>
    <row r="53" spans="2:20" ht="25.15" hidden="1" customHeight="1" x14ac:dyDescent="0.25">
      <c r="D53" s="580"/>
      <c r="E53" s="572"/>
      <c r="H53" s="41" t="s">
        <v>134</v>
      </c>
      <c r="J53" s="582">
        <f>I51+D51</f>
        <v>91813</v>
      </c>
      <c r="K53" s="582"/>
      <c r="L53" s="181"/>
      <c r="M53" s="46" t="s">
        <v>200</v>
      </c>
      <c r="Q53" s="41">
        <f>2*36*310+22*1000</f>
        <v>44320</v>
      </c>
      <c r="R53" s="41">
        <v>7850</v>
      </c>
      <c r="S53" s="41">
        <f>Q53*R53/1000000</f>
        <v>347.91199999999998</v>
      </c>
      <c r="T53" s="41">
        <f>J53/C12</f>
        <v>229.5325</v>
      </c>
    </row>
    <row r="54" spans="2:20" hidden="1" x14ac:dyDescent="0.25"/>
    <row r="55" spans="2:20" ht="16.149999999999999" hidden="1" customHeight="1" x14ac:dyDescent="0.25">
      <c r="B55" s="572" t="s">
        <v>363</v>
      </c>
      <c r="C55" s="572"/>
      <c r="D55" s="41" t="s">
        <v>134</v>
      </c>
      <c r="E55" s="572" t="s">
        <v>364</v>
      </c>
      <c r="F55" s="572"/>
      <c r="G55" s="572"/>
      <c r="H55" s="572"/>
      <c r="I55" s="572"/>
      <c r="J55" s="45"/>
      <c r="K55" s="45"/>
      <c r="L55" s="45"/>
      <c r="M55" s="45"/>
    </row>
    <row r="56" spans="2:20" ht="16.149999999999999" hidden="1" customHeight="1" x14ac:dyDescent="0.25">
      <c r="D56" s="41" t="s">
        <v>134</v>
      </c>
      <c r="E56" s="572" t="str">
        <f>J53&amp;" / "&amp;C12/10</f>
        <v>91813 / 40</v>
      </c>
      <c r="F56" s="572"/>
      <c r="G56" s="572"/>
      <c r="H56" s="572"/>
      <c r="I56" s="572"/>
      <c r="J56" s="45"/>
      <c r="K56" s="45"/>
      <c r="L56" s="45"/>
      <c r="M56" s="45"/>
    </row>
    <row r="57" spans="2:20" hidden="1" x14ac:dyDescent="0.25">
      <c r="D57" s="41" t="s">
        <v>134</v>
      </c>
      <c r="E57" s="581">
        <f>100*J53/C12/10</f>
        <v>2295.3249999999998</v>
      </c>
      <c r="F57" s="581"/>
      <c r="G57" s="581"/>
      <c r="H57" s="570" t="s">
        <v>211</v>
      </c>
      <c r="I57" s="570"/>
      <c r="J57" s="570"/>
    </row>
    <row r="58" spans="2:20" hidden="1" x14ac:dyDescent="0.25">
      <c r="E58" s="47"/>
      <c r="F58" s="47"/>
      <c r="G58" s="47"/>
      <c r="H58" s="46"/>
      <c r="I58" s="46"/>
      <c r="J58" s="46"/>
    </row>
    <row r="59" spans="2:20" hidden="1" x14ac:dyDescent="0.25"/>
    <row r="60" spans="2:20" ht="16.899999999999999" hidden="1" customHeight="1" x14ac:dyDescent="0.25">
      <c r="B60" s="572" t="s">
        <v>267</v>
      </c>
      <c r="C60" s="572"/>
      <c r="D60" s="41" t="s">
        <v>134</v>
      </c>
      <c r="E60" s="572" t="s">
        <v>403</v>
      </c>
      <c r="F60" s="572"/>
      <c r="G60" s="572"/>
      <c r="H60" s="41" t="s">
        <v>176</v>
      </c>
      <c r="I60" s="572" t="str">
        <f>"2 * "&amp;I5&amp;" * "&amp;E19&amp;" * 7850 / 1000000"</f>
        <v>2 *  * 300 * 7850 / 1000000</v>
      </c>
      <c r="J60" s="572"/>
      <c r="K60" s="572"/>
      <c r="L60" s="572"/>
      <c r="M60" s="572"/>
    </row>
    <row r="61" spans="2:20" ht="16.899999999999999" hidden="1" customHeight="1" x14ac:dyDescent="0.25">
      <c r="E61" s="580">
        <v>122.6</v>
      </c>
      <c r="F61" s="580"/>
      <c r="G61" s="580"/>
      <c r="H61" s="41" t="s">
        <v>176</v>
      </c>
      <c r="I61" s="572">
        <f>7850*2*I5*E19/1000000</f>
        <v>0</v>
      </c>
      <c r="J61" s="572"/>
      <c r="K61" s="572"/>
      <c r="M61" s="45"/>
    </row>
    <row r="62" spans="2:20" hidden="1" x14ac:dyDescent="0.25">
      <c r="D62" s="41" t="s">
        <v>134</v>
      </c>
      <c r="E62" s="584">
        <f>I61+E61</f>
        <v>122.6</v>
      </c>
      <c r="F62" s="584"/>
      <c r="G62" s="584"/>
      <c r="H62" s="570" t="s">
        <v>246</v>
      </c>
      <c r="I62" s="570"/>
      <c r="J62" s="570"/>
    </row>
    <row r="63" spans="2:20" hidden="1" x14ac:dyDescent="0.25">
      <c r="E63" s="47"/>
      <c r="F63" s="47"/>
      <c r="G63" s="47"/>
      <c r="H63" s="46"/>
      <c r="I63" s="46"/>
      <c r="J63" s="46"/>
    </row>
    <row r="64" spans="2:20" hidden="1" x14ac:dyDescent="0.25">
      <c r="B64" s="570" t="s">
        <v>268</v>
      </c>
      <c r="C64" s="570"/>
      <c r="D64" s="570"/>
      <c r="E64" s="570"/>
      <c r="F64" s="47"/>
      <c r="G64" s="47"/>
      <c r="H64" s="46"/>
      <c r="I64" s="46"/>
      <c r="J64" s="46"/>
      <c r="N64" s="47"/>
    </row>
    <row r="65" spans="2:17" hidden="1" x14ac:dyDescent="0.25">
      <c r="B65" s="572" t="s">
        <v>248</v>
      </c>
      <c r="C65" s="572"/>
      <c r="D65" s="41" t="s">
        <v>134</v>
      </c>
      <c r="E65" s="570" t="s">
        <v>269</v>
      </c>
      <c r="F65" s="570"/>
      <c r="G65" s="570"/>
      <c r="H65" s="570"/>
      <c r="I65" s="570"/>
      <c r="J65" s="570"/>
    </row>
    <row r="66" spans="2:17" ht="19.899999999999999" hidden="1" customHeight="1" x14ac:dyDescent="0.25">
      <c r="D66" s="41" t="s">
        <v>134</v>
      </c>
      <c r="E66" s="570" t="str">
        <f>O66&amp;" x 1000 x ("&amp;C6/10&amp;" x "&amp;C7/10&amp;" x "&amp;C13/10&amp;") / "&amp;J53</f>
        <v>105.982 x 1000 x (30 x 3.3 x 38.35) / 91813</v>
      </c>
      <c r="F66" s="570"/>
      <c r="G66" s="570"/>
      <c r="H66" s="570"/>
      <c r="I66" s="570"/>
      <c r="J66" s="570"/>
      <c r="N66" s="122">
        <f>'Load calculation'!K108</f>
        <v>105.98150000000001</v>
      </c>
      <c r="O66" s="122">
        <f>ROUND(N66,3)</f>
        <v>105.982</v>
      </c>
    </row>
    <row r="67" spans="2:17" ht="19.899999999999999" hidden="1" customHeight="1" x14ac:dyDescent="0.25">
      <c r="D67" s="41" t="s">
        <v>134</v>
      </c>
      <c r="E67" s="576">
        <f>O66*1000*C6/10*C7/10*C13/10/J53</f>
        <v>4382.5663065143281</v>
      </c>
      <c r="F67" s="576"/>
      <c r="G67" s="576"/>
      <c r="H67" s="576"/>
      <c r="I67" s="576"/>
      <c r="J67" s="576"/>
      <c r="Q67" s="41">
        <f>109.958*1000</f>
        <v>109958</v>
      </c>
    </row>
    <row r="68" spans="2:17" hidden="1" x14ac:dyDescent="0.25">
      <c r="D68" s="41" t="s">
        <v>134</v>
      </c>
      <c r="E68" s="122">
        <f>O66*1000*C6/10*C7/10*C13/10/J53</f>
        <v>4382.5663065143281</v>
      </c>
      <c r="F68" s="572" t="s">
        <v>270</v>
      </c>
      <c r="G68" s="572"/>
      <c r="H68" s="572"/>
      <c r="I68" s="46"/>
      <c r="J68" s="46"/>
    </row>
    <row r="69" spans="2:17" hidden="1" x14ac:dyDescent="0.25">
      <c r="D69" s="41" t="s">
        <v>134</v>
      </c>
      <c r="E69" s="123">
        <f>E68/2</f>
        <v>2191.283153257164</v>
      </c>
      <c r="F69" s="572" t="s">
        <v>251</v>
      </c>
      <c r="G69" s="572"/>
      <c r="H69" s="572"/>
      <c r="I69" s="46"/>
      <c r="J69" s="46"/>
    </row>
    <row r="70" spans="2:17" hidden="1" x14ac:dyDescent="0.25">
      <c r="E70" s="47"/>
      <c r="F70" s="47"/>
      <c r="G70" s="47"/>
      <c r="H70" s="46"/>
      <c r="I70" s="46"/>
      <c r="J70" s="46"/>
    </row>
    <row r="71" spans="2:17" hidden="1" x14ac:dyDescent="0.25">
      <c r="B71" s="570" t="s">
        <v>252</v>
      </c>
      <c r="C71" s="570"/>
      <c r="D71" s="570"/>
      <c r="E71" s="570"/>
      <c r="F71" s="47"/>
      <c r="G71" s="47"/>
      <c r="H71" s="46"/>
      <c r="I71" s="46"/>
      <c r="J71" s="46"/>
    </row>
    <row r="72" spans="2:17" ht="23.45" hidden="1" customHeight="1" x14ac:dyDescent="0.25">
      <c r="B72" s="570" t="s">
        <v>253</v>
      </c>
      <c r="C72" s="570"/>
      <c r="D72" s="570"/>
      <c r="E72" s="47" t="s">
        <v>134</v>
      </c>
      <c r="F72" s="570" t="str">
        <f>CONCATENATE("0.707 x 0.8 x ",'Load calculation'!D87," x 1.25")</f>
        <v>0.707 x 0.8 x 1108.107672 x 1.25</v>
      </c>
      <c r="G72" s="570"/>
      <c r="H72" s="570"/>
      <c r="I72" s="570"/>
      <c r="J72" s="570"/>
    </row>
    <row r="73" spans="2:17" hidden="1" x14ac:dyDescent="0.25">
      <c r="E73" s="41" t="s">
        <v>134</v>
      </c>
      <c r="F73" s="577">
        <f>ROUND(0.707*0.8*'Load calculation'!D87*1.25,3)</f>
        <v>783.43200000000002</v>
      </c>
      <c r="G73" s="577"/>
      <c r="H73" s="41" t="s">
        <v>271</v>
      </c>
      <c r="I73" s="41" t="s">
        <v>160</v>
      </c>
      <c r="J73" s="41">
        <f>E69</f>
        <v>2191.283153257164</v>
      </c>
      <c r="K73" s="41" t="s">
        <v>271</v>
      </c>
    </row>
    <row r="74" spans="2:17" hidden="1" x14ac:dyDescent="0.25">
      <c r="F74" s="47"/>
      <c r="G74" s="47"/>
    </row>
    <row r="75" spans="2:17" ht="15.6" hidden="1" customHeight="1" x14ac:dyDescent="0.25">
      <c r="E75" s="47"/>
      <c r="F75" s="47"/>
      <c r="G75" s="47"/>
      <c r="H75" s="46"/>
      <c r="I75" s="46"/>
      <c r="J75" s="46"/>
    </row>
    <row r="76" spans="2:17" ht="3.6" customHeight="1" x14ac:dyDescent="0.25">
      <c r="E76" s="47"/>
      <c r="F76" s="47"/>
      <c r="G76" s="47"/>
      <c r="H76" s="46"/>
      <c r="I76" s="46"/>
      <c r="J76" s="46"/>
    </row>
    <row r="77" spans="2:17" ht="6.6" hidden="1" customHeight="1" x14ac:dyDescent="0.25"/>
    <row r="78" spans="2:17" ht="6.6" hidden="1" customHeight="1" x14ac:dyDescent="0.25">
      <c r="B78" s="572" t="s">
        <v>272</v>
      </c>
      <c r="C78" s="572" t="s">
        <v>134</v>
      </c>
      <c r="G78" s="48" t="s">
        <v>273</v>
      </c>
      <c r="H78" s="572" t="s">
        <v>134</v>
      </c>
      <c r="I78" s="571" t="e">
        <f>CONCATENATE("2 x ",ROUND(#REF!,0))</f>
        <v>#REF!</v>
      </c>
      <c r="J78" s="571"/>
      <c r="K78" s="571"/>
      <c r="M78" s="45"/>
      <c r="N78" s="45"/>
    </row>
    <row r="79" spans="2:17" ht="6.6" hidden="1" customHeight="1" x14ac:dyDescent="0.25">
      <c r="B79" s="572"/>
      <c r="C79" s="572"/>
      <c r="G79" s="41" t="s">
        <v>274</v>
      </c>
      <c r="H79" s="572"/>
      <c r="I79" s="572" t="str">
        <f>CONCATENATE("(",C10,"+2x",C7,")")</f>
        <v>(734+2x33)</v>
      </c>
      <c r="J79" s="572"/>
      <c r="K79" s="572"/>
      <c r="M79" s="45"/>
      <c r="N79" s="45"/>
    </row>
    <row r="80" spans="2:17" ht="6.6" hidden="1" customHeight="1" x14ac:dyDescent="0.25"/>
    <row r="81" spans="1:12" ht="6.6" hidden="1" customHeight="1" x14ac:dyDescent="0.25">
      <c r="H81" s="41" t="s">
        <v>134</v>
      </c>
      <c r="I81" s="572" t="e">
        <f>2*#REF!/(C10+2*C7)</f>
        <v>#REF!</v>
      </c>
      <c r="J81" s="572"/>
      <c r="K81" s="41" t="s">
        <v>225</v>
      </c>
    </row>
    <row r="82" spans="1:12" ht="6.6" hidden="1" customHeight="1" x14ac:dyDescent="0.25">
      <c r="H82" s="41" t="s">
        <v>134</v>
      </c>
      <c r="I82" s="574">
        <v>6948.46</v>
      </c>
      <c r="J82" s="574"/>
      <c r="K82" s="41" t="s">
        <v>211</v>
      </c>
    </row>
    <row r="83" spans="1:12" ht="6.6" hidden="1" customHeight="1" x14ac:dyDescent="0.25"/>
    <row r="84" spans="1:12" ht="6.6" hidden="1" customHeight="1" x14ac:dyDescent="0.25"/>
    <row r="85" spans="1:12" ht="6.6" hidden="1" customHeight="1" x14ac:dyDescent="0.25"/>
    <row r="86" spans="1:12" ht="9" customHeight="1" x14ac:dyDescent="0.25"/>
    <row r="87" spans="1:12" ht="15.6" customHeight="1" x14ac:dyDescent="0.25">
      <c r="A87" s="573"/>
      <c r="B87" s="573"/>
      <c r="C87" s="573"/>
      <c r="D87" s="573"/>
      <c r="E87" s="40"/>
      <c r="F87" s="40"/>
      <c r="G87" s="40"/>
      <c r="H87" s="40"/>
      <c r="I87" s="573"/>
      <c r="J87" s="573"/>
      <c r="K87" s="573"/>
      <c r="L87" s="227"/>
    </row>
    <row r="88" spans="1:12" ht="15.6" customHeight="1" x14ac:dyDescent="0.25">
      <c r="A88" s="573"/>
      <c r="B88" s="573"/>
      <c r="C88" s="573"/>
      <c r="D88" s="573"/>
      <c r="E88" s="40"/>
      <c r="F88" s="40"/>
      <c r="G88" s="40"/>
      <c r="H88" s="40"/>
      <c r="I88" s="573"/>
      <c r="J88" s="573"/>
      <c r="K88" s="573"/>
      <c r="L88" s="227"/>
    </row>
    <row r="89" spans="1:12" ht="15.6" customHeight="1" x14ac:dyDescent="0.25">
      <c r="A89" s="573"/>
      <c r="B89" s="573"/>
      <c r="C89" s="573"/>
      <c r="D89" s="573"/>
      <c r="E89" s="40"/>
      <c r="F89" s="40"/>
      <c r="G89" s="40"/>
      <c r="H89" s="40"/>
      <c r="I89" s="573"/>
      <c r="J89" s="573"/>
      <c r="K89" s="573"/>
      <c r="L89" s="227"/>
    </row>
    <row r="90" spans="1:12" ht="4.9000000000000004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1:12" ht="15.75" x14ac:dyDescent="0.25">
      <c r="A91" s="1"/>
      <c r="B91" s="1"/>
      <c r="C91" s="575"/>
      <c r="D91" s="575"/>
      <c r="E91" s="575"/>
      <c r="F91" s="575"/>
      <c r="G91" s="575"/>
      <c r="H91" s="575"/>
      <c r="I91" s="575"/>
      <c r="J91" s="1"/>
      <c r="K91" s="1"/>
      <c r="L91" s="1"/>
    </row>
    <row r="92" spans="1:12" ht="15.75" x14ac:dyDescent="0.25">
      <c r="A92" s="1"/>
      <c r="B92" s="1"/>
      <c r="C92" s="575"/>
      <c r="D92" s="575"/>
      <c r="E92" s="575"/>
      <c r="F92" s="575"/>
      <c r="G92" s="575"/>
      <c r="H92" s="575"/>
      <c r="I92" s="575"/>
      <c r="J92" s="1"/>
      <c r="K92" s="1"/>
      <c r="L92" s="1"/>
    </row>
    <row r="93" spans="1:12" ht="15.75" x14ac:dyDescent="0.25">
      <c r="A93" s="1"/>
      <c r="B93" s="1"/>
      <c r="C93" s="575"/>
      <c r="D93" s="575"/>
      <c r="E93" s="575"/>
      <c r="F93" s="575"/>
      <c r="G93" s="575"/>
      <c r="H93" s="575"/>
      <c r="I93" s="575"/>
      <c r="J93" s="1"/>
      <c r="K93" s="1"/>
      <c r="L93" s="1"/>
    </row>
  </sheetData>
  <mergeCells count="98">
    <mergeCell ref="E21:G21"/>
    <mergeCell ref="E35:J35"/>
    <mergeCell ref="F47:G47"/>
    <mergeCell ref="F42:H42"/>
    <mergeCell ref="F43:H43"/>
    <mergeCell ref="B45:E45"/>
    <mergeCell ref="B46:D46"/>
    <mergeCell ref="F46:J46"/>
    <mergeCell ref="B38:E38"/>
    <mergeCell ref="B39:C39"/>
    <mergeCell ref="E39:J39"/>
    <mergeCell ref="E40:J40"/>
    <mergeCell ref="E41:J41"/>
    <mergeCell ref="E32:G32"/>
    <mergeCell ref="H32:J32"/>
    <mergeCell ref="B35:C35"/>
    <mergeCell ref="E36:G36"/>
    <mergeCell ref="H36:J36"/>
    <mergeCell ref="D28:E28"/>
    <mergeCell ref="J28:K28"/>
    <mergeCell ref="B30:C30"/>
    <mergeCell ref="E30:I30"/>
    <mergeCell ref="E31:I31"/>
    <mergeCell ref="H25:H26"/>
    <mergeCell ref="I25:K25"/>
    <mergeCell ref="D26:G26"/>
    <mergeCell ref="I26:K26"/>
    <mergeCell ref="D27:G27"/>
    <mergeCell ref="I27:K27"/>
    <mergeCell ref="E61:G61"/>
    <mergeCell ref="I61:K61"/>
    <mergeCell ref="I60:M60"/>
    <mergeCell ref="I49:K50"/>
    <mergeCell ref="I51:K52"/>
    <mergeCell ref="D51:G52"/>
    <mergeCell ref="E60:G60"/>
    <mergeCell ref="M51:M52"/>
    <mergeCell ref="C91:I91"/>
    <mergeCell ref="C92:I92"/>
    <mergeCell ref="C93:I93"/>
    <mergeCell ref="I89:K89"/>
    <mergeCell ref="A89:D89"/>
    <mergeCell ref="I81:J81"/>
    <mergeCell ref="I82:J82"/>
    <mergeCell ref="I87:K87"/>
    <mergeCell ref="I88:K88"/>
    <mergeCell ref="A88:D88"/>
    <mergeCell ref="A87:D87"/>
    <mergeCell ref="F69:H69"/>
    <mergeCell ref="B71:E71"/>
    <mergeCell ref="B72:D72"/>
    <mergeCell ref="F72:J72"/>
    <mergeCell ref="F73:G73"/>
    <mergeCell ref="B78:B79"/>
    <mergeCell ref="C78:C79"/>
    <mergeCell ref="H78:H79"/>
    <mergeCell ref="I78:K78"/>
    <mergeCell ref="I79:K79"/>
    <mergeCell ref="F68:H68"/>
    <mergeCell ref="E62:G62"/>
    <mergeCell ref="H62:J62"/>
    <mergeCell ref="B64:E64"/>
    <mergeCell ref="B65:C65"/>
    <mergeCell ref="E65:J65"/>
    <mergeCell ref="E66:J66"/>
    <mergeCell ref="E67:J67"/>
    <mergeCell ref="I24:K24"/>
    <mergeCell ref="B60:C60"/>
    <mergeCell ref="D53:E53"/>
    <mergeCell ref="H49:H50"/>
    <mergeCell ref="E57:G57"/>
    <mergeCell ref="H57:J57"/>
    <mergeCell ref="B51:B52"/>
    <mergeCell ref="C51:C52"/>
    <mergeCell ref="H51:H52"/>
    <mergeCell ref="E56:I56"/>
    <mergeCell ref="B55:C55"/>
    <mergeCell ref="E55:I55"/>
    <mergeCell ref="J53:K53"/>
    <mergeCell ref="B25:B26"/>
    <mergeCell ref="C25:C26"/>
    <mergeCell ref="D25:G25"/>
    <mergeCell ref="L23:L24"/>
    <mergeCell ref="L25:L26"/>
    <mergeCell ref="A1:M1"/>
    <mergeCell ref="E19:G19"/>
    <mergeCell ref="B49:B50"/>
    <mergeCell ref="C49:C50"/>
    <mergeCell ref="M49:M50"/>
    <mergeCell ref="A2:B2"/>
    <mergeCell ref="A3:I3"/>
    <mergeCell ref="D49:G50"/>
    <mergeCell ref="B23:B24"/>
    <mergeCell ref="C23:C24"/>
    <mergeCell ref="D23:G23"/>
    <mergeCell ref="H23:H24"/>
    <mergeCell ref="I23:K23"/>
    <mergeCell ref="D24:G24"/>
  </mergeCells>
  <pageMargins left="0.7" right="0.7" top="0.75" bottom="0.75" header="0.3" footer="0.3"/>
  <pageSetup paperSize="9" scale="78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AL69"/>
  <sheetViews>
    <sheetView zoomScale="110" zoomScaleNormal="110" workbookViewId="0">
      <selection activeCell="H31" sqref="H31"/>
    </sheetView>
  </sheetViews>
  <sheetFormatPr defaultRowHeight="15" x14ac:dyDescent="0.25"/>
  <cols>
    <col min="1" max="1" width="8.5703125" customWidth="1"/>
    <col min="2" max="2" width="2.85546875" customWidth="1"/>
    <col min="3" max="14" width="6.7109375" customWidth="1"/>
    <col min="15" max="15" width="2.7109375" customWidth="1"/>
    <col min="16" max="16" width="22.28515625" customWidth="1"/>
    <col min="17" max="17" width="28.7109375" customWidth="1"/>
  </cols>
  <sheetData>
    <row r="1" spans="1:38" ht="75" customHeight="1" x14ac:dyDescent="0.25">
      <c r="A1" s="600" t="s">
        <v>301</v>
      </c>
      <c r="B1" s="600"/>
      <c r="C1" s="600"/>
      <c r="D1" s="600"/>
      <c r="E1" s="600"/>
      <c r="F1" s="600"/>
      <c r="G1" s="600"/>
      <c r="H1" s="600"/>
      <c r="I1" s="600"/>
      <c r="J1" s="600"/>
      <c r="K1" s="600"/>
      <c r="L1" s="600"/>
      <c r="M1" s="600"/>
      <c r="N1" s="600"/>
      <c r="O1" s="600"/>
    </row>
    <row r="2" spans="1:38" ht="59.45" customHeight="1" x14ac:dyDescent="0.25">
      <c r="A2" s="568" t="s">
        <v>302</v>
      </c>
      <c r="B2" s="568"/>
      <c r="C2" s="601" t="str">
        <f>'Annexure A'!C3:G3</f>
        <v>Construction of High Level Bridge across Cauvery river ar km 315/6-316/2 of Chennai- Trichy-Dindugal road (SHU-9) in between Trichy and Srirangam</v>
      </c>
      <c r="D2" s="601"/>
      <c r="E2" s="601"/>
      <c r="F2" s="601"/>
      <c r="G2" s="601"/>
      <c r="H2" s="601"/>
      <c r="I2" s="601"/>
      <c r="J2" s="601"/>
      <c r="K2" s="601"/>
      <c r="L2" s="601"/>
      <c r="M2" s="601"/>
      <c r="N2" s="601"/>
      <c r="O2" s="601"/>
    </row>
    <row r="3" spans="1:38" ht="21.6" hidden="1" customHeight="1" x14ac:dyDescent="0.25">
      <c r="A3" s="50"/>
      <c r="B3" s="50"/>
      <c r="C3" s="56"/>
      <c r="D3" s="56"/>
      <c r="E3" s="56"/>
      <c r="F3" s="604"/>
      <c r="G3" s="604"/>
      <c r="H3" s="604"/>
      <c r="I3" s="604"/>
      <c r="J3" s="604"/>
      <c r="K3" s="604"/>
      <c r="L3" s="604"/>
      <c r="M3" s="604"/>
      <c r="N3" s="56"/>
      <c r="O3" s="56"/>
    </row>
    <row r="4" spans="1:38" ht="16.149999999999999" hidden="1" customHeight="1" x14ac:dyDescent="0.25">
      <c r="A4" s="50"/>
      <c r="B4" s="50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</row>
    <row r="5" spans="1:38" ht="27" hidden="1" customHeight="1" x14ac:dyDescent="0.25"/>
    <row r="6" spans="1:38" ht="27" customHeight="1" x14ac:dyDescent="0.25"/>
    <row r="7" spans="1:38" ht="27" customHeight="1" x14ac:dyDescent="0.25">
      <c r="P7" s="249" t="s">
        <v>109</v>
      </c>
      <c r="Q7" s="114"/>
    </row>
    <row r="8" spans="1:38" ht="27" customHeight="1" x14ac:dyDescent="0.25">
      <c r="N8" s="209"/>
      <c r="P8" s="249" t="s">
        <v>108</v>
      </c>
      <c r="Q8" s="114"/>
    </row>
    <row r="9" spans="1:38" ht="37.5" customHeight="1" x14ac:dyDescent="0.25">
      <c r="A9" s="196" t="s">
        <v>535</v>
      </c>
      <c r="P9" s="229" t="s">
        <v>107</v>
      </c>
      <c r="Q9" s="114"/>
    </row>
    <row r="10" spans="1:38" ht="36" customHeight="1" thickBot="1" x14ac:dyDescent="0.3"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P10" s="229" t="s">
        <v>106</v>
      </c>
      <c r="Q10" s="114"/>
    </row>
    <row r="11" spans="1:38" ht="25.15" customHeight="1" thickBot="1" x14ac:dyDescent="0.3">
      <c r="C11" s="603"/>
      <c r="D11" s="603"/>
      <c r="E11" s="603"/>
      <c r="F11" s="603"/>
      <c r="G11" s="603"/>
      <c r="H11" s="603"/>
      <c r="I11" s="603"/>
      <c r="J11" s="603"/>
      <c r="K11" s="603"/>
      <c r="L11" s="603"/>
      <c r="M11" s="603"/>
      <c r="N11" s="603"/>
      <c r="O11" s="602" t="s">
        <v>16</v>
      </c>
      <c r="P11" s="602"/>
    </row>
    <row r="12" spans="1:38" ht="4.1500000000000004" customHeight="1" thickBot="1" x14ac:dyDescent="0.3">
      <c r="B12" s="58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60"/>
    </row>
    <row r="13" spans="1:38" ht="27" customHeight="1" thickBot="1" x14ac:dyDescent="0.3">
      <c r="B13" s="58"/>
      <c r="C13" s="59"/>
      <c r="D13" s="59"/>
      <c r="E13" s="59"/>
      <c r="F13" s="59"/>
      <c r="G13" s="59"/>
      <c r="H13" s="598" t="s">
        <v>303</v>
      </c>
      <c r="I13" s="599"/>
      <c r="J13" s="59"/>
      <c r="K13" s="59"/>
      <c r="L13" s="59"/>
      <c r="M13" s="59"/>
      <c r="N13" s="59"/>
      <c r="O13" s="60"/>
      <c r="U13">
        <f>AK13</f>
        <v>0</v>
      </c>
      <c r="AE13" t="str">
        <f>H13</f>
        <v>Main Girder</v>
      </c>
      <c r="AI13">
        <v>0</v>
      </c>
      <c r="AJ13" t="e">
        <f>0.5*AL13*AF13</f>
        <v>#VALUE!</v>
      </c>
      <c r="AL13" s="131" t="e">
        <f>AE13*AG13</f>
        <v>#VALUE!</v>
      </c>
    </row>
    <row r="14" spans="1:38" ht="4.1500000000000004" customHeight="1" thickBot="1" x14ac:dyDescent="0.3">
      <c r="B14" s="58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60"/>
      <c r="U14">
        <f t="shared" ref="U14:U15" si="0">AK14</f>
        <v>0</v>
      </c>
      <c r="AI14" t="e">
        <f>AL13*AF14</f>
        <v>#VALUE!</v>
      </c>
      <c r="AJ14" t="e">
        <f>-(AL14-AL13)*AF14/2</f>
        <v>#VALUE!</v>
      </c>
      <c r="AL14" s="131">
        <f>AE14*AG14</f>
        <v>0</v>
      </c>
    </row>
    <row r="15" spans="1:38" ht="4.1500000000000004" customHeight="1" x14ac:dyDescent="0.25">
      <c r="U15">
        <f t="shared" si="0"/>
        <v>0</v>
      </c>
      <c r="AI15">
        <f>AL14*AF15</f>
        <v>0</v>
      </c>
      <c r="AJ15">
        <f>(AL15-AL14)*AF15/2</f>
        <v>0</v>
      </c>
      <c r="AL15" s="131">
        <f>AE15*AG15</f>
        <v>0</v>
      </c>
    </row>
    <row r="17" spans="2:15" ht="4.1500000000000004" customHeight="1" x14ac:dyDescent="0.25"/>
    <row r="18" spans="2:15" ht="3.6" customHeight="1" x14ac:dyDescent="0.25"/>
    <row r="19" spans="2:15" x14ac:dyDescent="0.25">
      <c r="C19" s="38"/>
    </row>
    <row r="20" spans="2:15" x14ac:dyDescent="0.25">
      <c r="B20" s="39"/>
      <c r="C20" s="104" t="s">
        <v>291</v>
      </c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</row>
    <row r="22" spans="2:15" x14ac:dyDescent="0.25">
      <c r="M22" t="s">
        <v>304</v>
      </c>
    </row>
    <row r="27" spans="2:15" x14ac:dyDescent="0.25">
      <c r="C27" s="61" t="s">
        <v>305</v>
      </c>
    </row>
    <row r="28" spans="2:15" s="82" customFormat="1" x14ac:dyDescent="0.25">
      <c r="B28" s="590" t="s">
        <v>531</v>
      </c>
      <c r="C28" s="590"/>
      <c r="D28" s="588" t="s">
        <v>504</v>
      </c>
      <c r="E28" s="588"/>
      <c r="F28" s="588"/>
      <c r="G28" s="82" t="s">
        <v>134</v>
      </c>
      <c r="H28" s="99">
        <f>9*9*1.25*1.25*1.25</f>
        <v>158.203125</v>
      </c>
      <c r="I28" s="224" t="s">
        <v>451</v>
      </c>
      <c r="J28" s="226"/>
      <c r="K28" s="226"/>
      <c r="L28" s="226"/>
    </row>
    <row r="29" spans="2:15" s="82" customFormat="1" x14ac:dyDescent="0.25">
      <c r="B29" s="590" t="s">
        <v>455</v>
      </c>
      <c r="C29" s="590"/>
      <c r="D29" s="589" t="s">
        <v>504</v>
      </c>
      <c r="E29" s="589"/>
      <c r="F29" s="589"/>
      <c r="G29" s="82" t="s">
        <v>134</v>
      </c>
      <c r="H29" s="99">
        <f>9*9*1.25*1.25*1.25</f>
        <v>158.203125</v>
      </c>
      <c r="I29" s="224" t="s">
        <v>451</v>
      </c>
      <c r="J29" s="225"/>
      <c r="K29" s="225"/>
      <c r="L29" s="225"/>
    </row>
    <row r="30" spans="2:15" s="82" customFormat="1" x14ac:dyDescent="0.25">
      <c r="B30" s="590" t="s">
        <v>456</v>
      </c>
      <c r="C30" s="590"/>
      <c r="D30" s="589" t="s">
        <v>505</v>
      </c>
      <c r="E30" s="589"/>
      <c r="F30" s="589"/>
      <c r="G30" s="82" t="s">
        <v>134</v>
      </c>
      <c r="H30" s="99">
        <f>8*8*1.25*1.25*0.625</f>
        <v>62.5</v>
      </c>
      <c r="I30" s="224" t="s">
        <v>451</v>
      </c>
      <c r="J30" s="225"/>
      <c r="K30" s="225"/>
      <c r="L30" s="225"/>
    </row>
    <row r="31" spans="2:15" s="82" customFormat="1" x14ac:dyDescent="0.25">
      <c r="B31" s="590" t="s">
        <v>532</v>
      </c>
      <c r="C31" s="590"/>
      <c r="D31" s="589" t="s">
        <v>505</v>
      </c>
      <c r="E31" s="589"/>
      <c r="F31" s="589"/>
      <c r="G31" s="82" t="s">
        <v>134</v>
      </c>
      <c r="H31" s="99">
        <f>8*8*1.25*1.25*0.625</f>
        <v>62.5</v>
      </c>
      <c r="I31" s="224" t="s">
        <v>451</v>
      </c>
      <c r="J31" s="226"/>
      <c r="K31" s="226"/>
      <c r="L31" s="226"/>
    </row>
    <row r="32" spans="2:15" s="82" customFormat="1" x14ac:dyDescent="0.25">
      <c r="D32" s="225"/>
      <c r="E32" s="225"/>
      <c r="F32" s="225"/>
      <c r="H32" s="99"/>
      <c r="I32" s="224"/>
      <c r="J32" s="226"/>
      <c r="K32" s="226"/>
      <c r="L32" s="226"/>
    </row>
    <row r="33" spans="1:21" x14ac:dyDescent="0.25">
      <c r="C33" s="592" t="s">
        <v>457</v>
      </c>
      <c r="D33" s="592"/>
      <c r="E33" s="592"/>
      <c r="F33" s="592"/>
      <c r="G33" s="597" t="s">
        <v>533</v>
      </c>
      <c r="H33" s="597"/>
      <c r="I33" s="597"/>
      <c r="J33" s="597"/>
      <c r="K33" s="597"/>
      <c r="L33" s="597"/>
      <c r="M33" s="597"/>
      <c r="N33" s="597"/>
    </row>
    <row r="34" spans="1:21" x14ac:dyDescent="0.25">
      <c r="C34" s="592" t="s">
        <v>458</v>
      </c>
      <c r="D34" s="592"/>
      <c r="E34" s="592"/>
      <c r="F34" s="592"/>
      <c r="G34" s="597" t="s">
        <v>534</v>
      </c>
      <c r="H34" s="597"/>
      <c r="I34" s="597"/>
      <c r="J34" s="597"/>
      <c r="K34" s="597"/>
      <c r="L34" s="597"/>
      <c r="M34" s="597"/>
      <c r="N34" s="597"/>
    </row>
    <row r="35" spans="1:21" x14ac:dyDescent="0.25">
      <c r="C35" s="592" t="s">
        <v>306</v>
      </c>
      <c r="D35" s="592"/>
      <c r="E35" s="592"/>
      <c r="F35" s="592"/>
      <c r="G35" s="597">
        <v>3.75</v>
      </c>
      <c r="H35" s="597"/>
      <c r="I35" s="597"/>
      <c r="J35" s="597"/>
      <c r="K35" s="597"/>
      <c r="L35" s="597"/>
      <c r="M35" s="597"/>
      <c r="N35" s="597"/>
    </row>
    <row r="36" spans="1:21" ht="29.45" customHeight="1" x14ac:dyDescent="0.25">
      <c r="C36" s="591" t="s">
        <v>307</v>
      </c>
      <c r="D36" s="591"/>
      <c r="E36" s="591"/>
      <c r="F36" s="591"/>
      <c r="G36" s="595" t="str">
        <f>'Annexure A'!F50&amp;" Nos of "&amp;'Annexure A'!D48</f>
        <v xml:space="preserve">4 Nos of WPB-800x300x262.33 with web plate on both sides ( 12 mm thick Ms plate) &amp; Bottom Flange plate of 30 mm thick 330 mm wide. </v>
      </c>
      <c r="H36" s="595"/>
      <c r="I36" s="595"/>
      <c r="J36" s="595"/>
      <c r="K36" s="595"/>
      <c r="L36" s="595"/>
      <c r="M36" s="595"/>
      <c r="N36" s="595"/>
      <c r="O36" s="197"/>
    </row>
    <row r="37" spans="1:21" x14ac:dyDescent="0.25">
      <c r="C37" s="592" t="s">
        <v>308</v>
      </c>
      <c r="D37" s="592"/>
      <c r="E37" s="592"/>
      <c r="F37" s="592"/>
      <c r="G37" s="593" t="str">
        <f>'Annexure A'!F53&amp;" Nos of "&amp;'Annexure A'!D51</f>
        <v>30 Nos of ISMB 450</v>
      </c>
      <c r="H37" s="593"/>
      <c r="I37" s="593"/>
      <c r="J37" s="593"/>
      <c r="K37" s="593"/>
      <c r="L37" s="593"/>
      <c r="M37" s="593"/>
      <c r="N37" s="593"/>
    </row>
    <row r="39" spans="1:21" ht="29.45" customHeight="1" x14ac:dyDescent="0.25"/>
    <row r="41" spans="1:21" x14ac:dyDescent="0.25">
      <c r="A41" s="594"/>
      <c r="B41" s="594"/>
      <c r="C41" s="594"/>
      <c r="D41" s="594"/>
      <c r="E41" s="594"/>
      <c r="F41" s="37"/>
      <c r="G41" s="37"/>
      <c r="H41" s="37"/>
      <c r="I41" s="37"/>
      <c r="J41" s="37"/>
      <c r="L41" s="37"/>
      <c r="N41" s="594"/>
      <c r="O41" s="594"/>
      <c r="P41" s="594"/>
    </row>
    <row r="42" spans="1:21" x14ac:dyDescent="0.25">
      <c r="A42" s="594"/>
      <c r="B42" s="594"/>
      <c r="C42" s="594"/>
      <c r="D42" s="594"/>
      <c r="E42" s="594"/>
      <c r="F42" s="37"/>
      <c r="G42" s="37"/>
      <c r="H42" s="37"/>
      <c r="I42" s="37"/>
      <c r="J42" s="37"/>
      <c r="L42" s="37"/>
      <c r="N42" s="594"/>
      <c r="O42" s="594"/>
      <c r="P42" s="594"/>
    </row>
    <row r="43" spans="1:21" x14ac:dyDescent="0.25">
      <c r="A43" s="594"/>
      <c r="B43" s="594"/>
      <c r="C43" s="594"/>
      <c r="D43" s="594"/>
      <c r="E43" s="594"/>
      <c r="F43" s="37"/>
      <c r="G43" s="37"/>
      <c r="H43" s="37"/>
      <c r="I43" s="37"/>
      <c r="J43" s="37"/>
      <c r="L43" s="37"/>
      <c r="N43" s="594"/>
      <c r="O43" s="594"/>
      <c r="P43" s="594"/>
    </row>
    <row r="44" spans="1:21" x14ac:dyDescent="0.25">
      <c r="A44" s="62"/>
      <c r="B44" s="62"/>
      <c r="C44" s="62"/>
      <c r="D44" s="63"/>
      <c r="E44" s="63"/>
      <c r="F44" s="63"/>
      <c r="G44" s="63"/>
      <c r="H44" s="63"/>
      <c r="I44" s="63"/>
      <c r="J44" s="63"/>
      <c r="K44" s="64"/>
      <c r="L44" s="63"/>
      <c r="M44" s="64"/>
      <c r="N44" s="64"/>
      <c r="O44" s="64"/>
    </row>
    <row r="45" spans="1:21" x14ac:dyDescent="0.25">
      <c r="A45" s="596"/>
      <c r="B45" s="596"/>
      <c r="C45" s="596"/>
      <c r="D45" s="596"/>
      <c r="E45" s="596"/>
      <c r="F45" s="596"/>
      <c r="G45" s="596"/>
      <c r="H45" s="596"/>
      <c r="I45" s="596"/>
      <c r="J45" s="596"/>
      <c r="K45" s="596"/>
      <c r="L45" s="596"/>
      <c r="M45" s="596"/>
      <c r="N45" s="596"/>
      <c r="O45" s="596"/>
      <c r="P45" s="596"/>
      <c r="Q45" s="65"/>
      <c r="R45" s="65"/>
      <c r="S45" s="65"/>
      <c r="T45" s="65"/>
      <c r="U45" s="65"/>
    </row>
    <row r="46" spans="1:21" x14ac:dyDescent="0.25">
      <c r="A46" s="596"/>
      <c r="B46" s="596"/>
      <c r="C46" s="596"/>
      <c r="D46" s="596"/>
      <c r="E46" s="596"/>
      <c r="F46" s="596"/>
      <c r="G46" s="596"/>
      <c r="H46" s="596"/>
      <c r="I46" s="596"/>
      <c r="J46" s="596"/>
      <c r="K46" s="596"/>
      <c r="L46" s="596"/>
      <c r="M46" s="596"/>
      <c r="N46" s="596"/>
      <c r="O46" s="596"/>
      <c r="P46" s="596"/>
      <c r="Q46" s="65"/>
      <c r="R46" s="65"/>
      <c r="S46" s="65"/>
      <c r="T46" s="65"/>
      <c r="U46" s="65"/>
    </row>
    <row r="47" spans="1:21" x14ac:dyDescent="0.25">
      <c r="A47" s="596"/>
      <c r="B47" s="596"/>
      <c r="C47" s="596"/>
      <c r="D47" s="596"/>
      <c r="E47" s="596"/>
      <c r="F47" s="596"/>
      <c r="G47" s="596"/>
      <c r="H47" s="596"/>
      <c r="I47" s="596"/>
      <c r="J47" s="596"/>
      <c r="K47" s="596"/>
      <c r="L47" s="596"/>
      <c r="M47" s="596"/>
      <c r="N47" s="596"/>
      <c r="O47" s="596"/>
      <c r="P47" s="596"/>
      <c r="Q47" s="65"/>
      <c r="R47" s="65"/>
      <c r="S47" s="65"/>
      <c r="T47" s="65"/>
      <c r="U47" s="65"/>
    </row>
    <row r="57" ht="40.15" customHeight="1" x14ac:dyDescent="0.25"/>
    <row r="60" ht="28.9" customHeight="1" x14ac:dyDescent="0.25"/>
    <row r="69" spans="4:6" ht="37.15" customHeight="1" x14ac:dyDescent="0.25">
      <c r="D69" s="114" t="s">
        <v>353</v>
      </c>
      <c r="E69" s="114" t="s">
        <v>353</v>
      </c>
      <c r="F69" s="114" t="s">
        <v>353</v>
      </c>
    </row>
  </sheetData>
  <mergeCells count="34">
    <mergeCell ref="H13:I13"/>
    <mergeCell ref="A1:O1"/>
    <mergeCell ref="A2:B2"/>
    <mergeCell ref="C2:O2"/>
    <mergeCell ref="O11:P11"/>
    <mergeCell ref="C11:N11"/>
    <mergeCell ref="F3:M3"/>
    <mergeCell ref="C35:F35"/>
    <mergeCell ref="G35:N35"/>
    <mergeCell ref="C33:F33"/>
    <mergeCell ref="G33:N33"/>
    <mergeCell ref="C34:F34"/>
    <mergeCell ref="G34:N34"/>
    <mergeCell ref="A47:P47"/>
    <mergeCell ref="N42:P42"/>
    <mergeCell ref="N43:P43"/>
    <mergeCell ref="A45:P45"/>
    <mergeCell ref="A46:P46"/>
    <mergeCell ref="A43:E43"/>
    <mergeCell ref="A42:E42"/>
    <mergeCell ref="C36:F36"/>
    <mergeCell ref="C37:F37"/>
    <mergeCell ref="G37:N37"/>
    <mergeCell ref="N41:P41"/>
    <mergeCell ref="G36:N36"/>
    <mergeCell ref="A41:E41"/>
    <mergeCell ref="D28:F28"/>
    <mergeCell ref="D29:F29"/>
    <mergeCell ref="D30:F30"/>
    <mergeCell ref="D31:F31"/>
    <mergeCell ref="B28:C28"/>
    <mergeCell ref="B29:C29"/>
    <mergeCell ref="B30:C30"/>
    <mergeCell ref="B31:C31"/>
  </mergeCells>
  <pageMargins left="0.7" right="0.7" top="0.75" bottom="0.75" header="0.3" footer="0.3"/>
  <pageSetup paperSize="9" scale="74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B1:AJ71"/>
  <sheetViews>
    <sheetView topLeftCell="A4" workbookViewId="0">
      <selection activeCell="Y8" sqref="Y8"/>
    </sheetView>
  </sheetViews>
  <sheetFormatPr defaultColWidth="9.140625" defaultRowHeight="18.75" x14ac:dyDescent="0.3"/>
  <cols>
    <col min="1" max="2" width="9.140625" style="67"/>
    <col min="3" max="3" width="5.28515625" style="67" customWidth="1"/>
    <col min="4" max="4" width="10.7109375" style="67" customWidth="1"/>
    <col min="5" max="5" width="4" style="67" customWidth="1"/>
    <col min="6" max="6" width="8.85546875" style="67" customWidth="1"/>
    <col min="7" max="7" width="7.5703125" style="67" customWidth="1"/>
    <col min="8" max="8" width="9.140625" style="67" customWidth="1"/>
    <col min="9" max="9" width="7.5703125" style="67" customWidth="1"/>
    <col min="10" max="10" width="11.7109375" style="67" customWidth="1"/>
    <col min="11" max="11" width="7.5703125" style="67" customWidth="1"/>
    <col min="12" max="12" width="9.140625" style="67" customWidth="1"/>
    <col min="13" max="13" width="7.5703125" style="67" customWidth="1"/>
    <col min="14" max="14" width="8.85546875" style="67" customWidth="1"/>
    <col min="15" max="15" width="4" style="67" customWidth="1"/>
    <col min="16" max="16" width="10.7109375" style="67" customWidth="1"/>
    <col min="17" max="22" width="5.28515625" style="67" customWidth="1"/>
    <col min="23" max="23" width="2.28515625" style="67" customWidth="1"/>
    <col min="24" max="24" width="5.28515625" style="67" customWidth="1"/>
    <col min="25" max="25" width="9.7109375" style="67" bestFit="1" customWidth="1"/>
    <col min="26" max="16384" width="9.140625" style="67"/>
  </cols>
  <sheetData>
    <row r="1" spans="2:25" ht="122.45" customHeight="1" x14ac:dyDescent="0.3"/>
    <row r="2" spans="2:25" ht="31.9" customHeight="1" x14ac:dyDescent="0.3">
      <c r="C2" s="611" t="s">
        <v>309</v>
      </c>
      <c r="D2" s="611"/>
      <c r="E2" s="611"/>
      <c r="F2" s="611"/>
      <c r="G2" s="611"/>
      <c r="H2" s="611"/>
      <c r="I2" s="611"/>
      <c r="J2" s="611"/>
      <c r="K2" s="611"/>
      <c r="L2" s="611"/>
      <c r="M2" s="611"/>
      <c r="N2" s="611"/>
      <c r="O2" s="611"/>
      <c r="P2" s="66"/>
      <c r="Q2" s="66"/>
      <c r="R2" s="66"/>
      <c r="S2" s="66"/>
      <c r="T2" s="66"/>
      <c r="U2" s="66"/>
      <c r="Y2" s="141">
        <v>1627.25</v>
      </c>
    </row>
    <row r="3" spans="2:25" ht="39" customHeight="1" x14ac:dyDescent="0.3">
      <c r="C3" s="604" t="str">
        <f>'Kentledge '!C2</f>
        <v>Construction of High Level Bridge across Cauvery river ar km 315/6-316/2 of Chennai- Trichy-Dindugal road (SHU-9) in between Trichy and Srirangam</v>
      </c>
      <c r="D3" s="604"/>
      <c r="E3" s="604"/>
      <c r="F3" s="604"/>
      <c r="G3" s="604"/>
      <c r="H3" s="604"/>
      <c r="I3" s="604"/>
      <c r="J3" s="604"/>
      <c r="K3" s="604"/>
      <c r="L3" s="604"/>
      <c r="M3" s="604"/>
      <c r="N3" s="604"/>
      <c r="O3" s="604"/>
      <c r="P3" s="68"/>
      <c r="Q3" s="68"/>
      <c r="R3" s="68"/>
      <c r="S3" s="66"/>
      <c r="T3" s="66"/>
      <c r="U3" s="66"/>
    </row>
    <row r="4" spans="2:25" ht="19.899999999999999" customHeight="1" x14ac:dyDescent="0.3">
      <c r="B4" s="623" t="s">
        <v>542</v>
      </c>
      <c r="C4" s="623"/>
      <c r="D4" s="623"/>
      <c r="E4" s="42"/>
      <c r="F4" s="42"/>
      <c r="G4" s="42"/>
      <c r="H4" s="42"/>
      <c r="I4" s="42"/>
      <c r="J4" s="42"/>
      <c r="K4" s="42"/>
      <c r="L4" s="42"/>
      <c r="M4" s="42"/>
      <c r="N4" s="604" t="s">
        <v>543</v>
      </c>
      <c r="O4" s="604"/>
      <c r="P4" s="604"/>
      <c r="Q4" s="68"/>
      <c r="R4" s="68"/>
      <c r="S4" s="66"/>
      <c r="T4" s="66"/>
      <c r="U4" s="66"/>
    </row>
    <row r="5" spans="2:25" ht="19.899999999999999" customHeight="1" x14ac:dyDescent="0.3">
      <c r="B5" s="74"/>
      <c r="C5" s="74"/>
      <c r="D5" s="74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68"/>
      <c r="R5" s="68"/>
      <c r="S5" s="66"/>
      <c r="T5" s="66"/>
      <c r="U5" s="66"/>
    </row>
    <row r="6" spans="2:25" ht="19.5" thickBot="1" x14ac:dyDescent="0.35">
      <c r="D6" t="s">
        <v>528</v>
      </c>
      <c r="O6" t="s">
        <v>527</v>
      </c>
    </row>
    <row r="7" spans="2:25" ht="19.5" thickBot="1" x14ac:dyDescent="0.35">
      <c r="D7" s="69"/>
      <c r="E7" s="612"/>
      <c r="G7" s="137"/>
      <c r="I7" s="137"/>
      <c r="K7" s="137"/>
      <c r="M7" s="137"/>
      <c r="O7" s="615"/>
      <c r="P7" s="70"/>
      <c r="V7" s="71"/>
      <c r="W7" s="608"/>
      <c r="X7" s="71"/>
      <c r="Y7" s="71"/>
    </row>
    <row r="8" spans="2:25" x14ac:dyDescent="0.3">
      <c r="C8" s="72"/>
      <c r="D8" s="618" t="s">
        <v>310</v>
      </c>
      <c r="E8" s="613"/>
      <c r="F8" s="72"/>
      <c r="G8" s="620" t="s">
        <v>311</v>
      </c>
      <c r="H8" s="72"/>
      <c r="I8" s="620" t="s">
        <v>459</v>
      </c>
      <c r="J8" s="72"/>
      <c r="K8" s="620" t="s">
        <v>460</v>
      </c>
      <c r="L8" s="72"/>
      <c r="M8" s="620" t="s">
        <v>536</v>
      </c>
      <c r="N8" s="174"/>
      <c r="O8" s="616"/>
      <c r="P8" s="609" t="s">
        <v>312</v>
      </c>
      <c r="Q8" s="607" t="s">
        <v>313</v>
      </c>
      <c r="R8" s="71"/>
      <c r="S8" s="607" t="s">
        <v>314</v>
      </c>
      <c r="T8" s="71"/>
      <c r="U8" s="607" t="s">
        <v>315</v>
      </c>
      <c r="V8" s="71"/>
      <c r="W8" s="608"/>
      <c r="X8" s="607" t="s">
        <v>312</v>
      </c>
      <c r="Y8" s="71"/>
    </row>
    <row r="9" spans="2:25" ht="19.5" thickBot="1" x14ac:dyDescent="0.35">
      <c r="C9" s="72"/>
      <c r="D9" s="619"/>
      <c r="E9" s="613"/>
      <c r="F9" s="72"/>
      <c r="G9" s="621"/>
      <c r="H9" s="72"/>
      <c r="I9" s="621"/>
      <c r="J9" s="622"/>
      <c r="K9" s="621"/>
      <c r="L9" s="72"/>
      <c r="M9" s="621"/>
      <c r="N9" s="72"/>
      <c r="O9" s="616"/>
      <c r="P9" s="610"/>
      <c r="Q9" s="607"/>
      <c r="R9" s="71"/>
      <c r="S9" s="607"/>
      <c r="T9" s="71"/>
      <c r="U9" s="607"/>
      <c r="V9" s="71"/>
      <c r="W9" s="608"/>
      <c r="X9" s="607"/>
      <c r="Y9" s="71"/>
    </row>
    <row r="10" spans="2:25" ht="19.5" thickBot="1" x14ac:dyDescent="0.35">
      <c r="D10" s="69"/>
      <c r="E10" s="614"/>
      <c r="J10" s="622"/>
      <c r="O10" s="617"/>
      <c r="P10" s="70"/>
      <c r="V10" s="71"/>
      <c r="W10" s="608"/>
      <c r="X10" s="71"/>
      <c r="Y10" s="71"/>
    </row>
    <row r="11" spans="2:25" x14ac:dyDescent="0.3">
      <c r="D11" s="137"/>
      <c r="F11" s="76"/>
      <c r="N11"/>
      <c r="O11" s="137"/>
    </row>
    <row r="12" spans="2:25" x14ac:dyDescent="0.3">
      <c r="D12" s="76" t="s">
        <v>436</v>
      </c>
      <c r="G12" s="76"/>
      <c r="H12" s="76"/>
      <c r="I12" s="76"/>
      <c r="M12" s="76"/>
      <c r="O12" s="137"/>
    </row>
    <row r="13" spans="2:25" x14ac:dyDescent="0.3">
      <c r="D13" s="76" t="s">
        <v>529</v>
      </c>
      <c r="G13" s="76"/>
      <c r="H13" s="76"/>
      <c r="I13" s="76"/>
      <c r="M13" s="67" t="s">
        <v>316</v>
      </c>
    </row>
    <row r="14" spans="2:25" ht="37.15" customHeight="1" x14ac:dyDescent="0.3">
      <c r="I14" s="141"/>
    </row>
    <row r="17" spans="3:36" x14ac:dyDescent="0.3">
      <c r="C17" s="606"/>
      <c r="D17" s="606"/>
      <c r="E17" s="606"/>
      <c r="F17" s="606"/>
      <c r="G17" s="606"/>
      <c r="N17" s="606"/>
      <c r="O17" s="606"/>
      <c r="P17" s="606"/>
    </row>
    <row r="18" spans="3:36" x14ac:dyDescent="0.3">
      <c r="C18" s="606"/>
      <c r="D18" s="606"/>
      <c r="E18" s="606"/>
      <c r="F18" s="606"/>
      <c r="G18" s="606"/>
      <c r="N18" s="606"/>
      <c r="O18" s="606"/>
      <c r="P18" s="606"/>
    </row>
    <row r="19" spans="3:36" x14ac:dyDescent="0.3">
      <c r="C19" s="606"/>
      <c r="D19" s="606"/>
      <c r="E19" s="606"/>
      <c r="F19" s="606"/>
      <c r="G19" s="606"/>
      <c r="I19" s="74"/>
      <c r="M19" s="74"/>
      <c r="N19" s="606"/>
      <c r="O19" s="606"/>
      <c r="P19" s="606"/>
    </row>
    <row r="20" spans="3:36" x14ac:dyDescent="0.3">
      <c r="C20" s="73"/>
      <c r="D20" s="73"/>
      <c r="E20" s="73"/>
      <c r="F20" s="73"/>
      <c r="G20" s="73"/>
      <c r="H20" s="73"/>
      <c r="I20" s="73"/>
      <c r="J20" s="73"/>
      <c r="K20" s="73"/>
      <c r="L20" s="73"/>
      <c r="M20" s="73"/>
      <c r="S20" s="67">
        <f>AI20</f>
        <v>0</v>
      </c>
      <c r="AC20" s="67" t="e">
        <f>#REF!</f>
        <v>#REF!</v>
      </c>
      <c r="AG20" s="67">
        <v>0</v>
      </c>
      <c r="AH20" s="67" t="e">
        <f>0.5*AJ20*AD20</f>
        <v>#REF!</v>
      </c>
      <c r="AJ20" s="130" t="e">
        <f>AC20*AE20</f>
        <v>#REF!</v>
      </c>
    </row>
    <row r="21" spans="3:36" x14ac:dyDescent="0.3">
      <c r="C21" s="73"/>
      <c r="D21" s="75"/>
      <c r="E21" s="75"/>
      <c r="F21" s="75"/>
      <c r="G21" s="605"/>
      <c r="H21" s="605"/>
      <c r="I21" s="198"/>
      <c r="J21" s="605"/>
      <c r="K21" s="605"/>
      <c r="L21" s="605"/>
      <c r="M21" s="605"/>
      <c r="S21" s="67">
        <f t="shared" ref="S21:S22" si="0">AI21</f>
        <v>0</v>
      </c>
      <c r="AG21" s="67" t="e">
        <f>AJ20*AD21</f>
        <v>#REF!</v>
      </c>
      <c r="AH21" s="67" t="e">
        <f>-(AJ21-AJ20)*AD21/2</f>
        <v>#REF!</v>
      </c>
      <c r="AJ21" s="130">
        <f>AC21*AE21</f>
        <v>0</v>
      </c>
    </row>
    <row r="22" spans="3:36" x14ac:dyDescent="0.3">
      <c r="C22" s="73"/>
      <c r="D22" s="75"/>
      <c r="E22" s="75"/>
      <c r="F22" s="75"/>
      <c r="G22" s="605"/>
      <c r="H22" s="605"/>
      <c r="I22" s="198"/>
      <c r="J22" s="605"/>
      <c r="K22" s="605"/>
      <c r="L22" s="605"/>
      <c r="M22" s="605"/>
      <c r="S22" s="67">
        <f t="shared" si="0"/>
        <v>0</v>
      </c>
      <c r="AG22" s="67">
        <f>AJ21*AD22</f>
        <v>0</v>
      </c>
      <c r="AH22" s="67">
        <f>(AJ22-AJ21)*AD22/2</f>
        <v>0</v>
      </c>
      <c r="AJ22" s="130">
        <f>AC22*AE22</f>
        <v>0</v>
      </c>
    </row>
    <row r="23" spans="3:36" x14ac:dyDescent="0.3">
      <c r="C23" s="73"/>
      <c r="D23" s="75"/>
      <c r="E23" s="75"/>
      <c r="F23" s="75"/>
      <c r="G23" s="605"/>
      <c r="H23" s="605"/>
      <c r="I23" s="198"/>
      <c r="J23" s="605"/>
      <c r="K23" s="605"/>
      <c r="L23" s="605"/>
      <c r="M23" s="605"/>
    </row>
    <row r="59" ht="40.15" customHeight="1" x14ac:dyDescent="0.3"/>
    <row r="62" ht="28.9" customHeight="1" x14ac:dyDescent="0.3"/>
    <row r="71" spans="6:6" ht="37.15" customHeight="1" x14ac:dyDescent="0.3">
      <c r="F71" s="113" t="s">
        <v>353</v>
      </c>
    </row>
  </sheetData>
  <mergeCells count="30">
    <mergeCell ref="N17:P17"/>
    <mergeCell ref="P8:P9"/>
    <mergeCell ref="C2:O2"/>
    <mergeCell ref="C3:O3"/>
    <mergeCell ref="E7:E10"/>
    <mergeCell ref="O7:O10"/>
    <mergeCell ref="D8:D9"/>
    <mergeCell ref="K8:K9"/>
    <mergeCell ref="M8:M9"/>
    <mergeCell ref="J9:J10"/>
    <mergeCell ref="I8:I9"/>
    <mergeCell ref="G8:G9"/>
    <mergeCell ref="C17:G17"/>
    <mergeCell ref="B4:D4"/>
    <mergeCell ref="N4:P4"/>
    <mergeCell ref="Q8:Q9"/>
    <mergeCell ref="S8:S9"/>
    <mergeCell ref="U8:U9"/>
    <mergeCell ref="X8:X9"/>
    <mergeCell ref="W7:W10"/>
    <mergeCell ref="J23:M23"/>
    <mergeCell ref="N18:P18"/>
    <mergeCell ref="N19:P19"/>
    <mergeCell ref="J21:M21"/>
    <mergeCell ref="J22:M22"/>
    <mergeCell ref="G23:H23"/>
    <mergeCell ref="G21:H21"/>
    <mergeCell ref="G22:H22"/>
    <mergeCell ref="C19:G19"/>
    <mergeCell ref="C18:G18"/>
  </mergeCells>
  <pageMargins left="0.45" right="0.7" top="0.75" bottom="0.75" header="0.3" footer="0.3"/>
  <pageSetup paperSize="9" fitToHeight="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39"/>
  <sheetViews>
    <sheetView workbookViewId="0">
      <selection activeCell="D7" sqref="D7"/>
    </sheetView>
  </sheetViews>
  <sheetFormatPr defaultColWidth="8.85546875" defaultRowHeight="15.75" x14ac:dyDescent="0.25"/>
  <cols>
    <col min="1" max="1" width="18.42578125" style="25" customWidth="1"/>
    <col min="2" max="2" width="4" style="25" customWidth="1"/>
    <col min="3" max="3" width="56.7109375" style="108" customWidth="1"/>
    <col min="4" max="16384" width="8.85546875" style="25"/>
  </cols>
  <sheetData>
    <row r="1" spans="1:3" ht="18.75" x14ac:dyDescent="0.25">
      <c r="A1" s="624" t="s">
        <v>537</v>
      </c>
      <c r="B1" s="624"/>
      <c r="C1" s="624"/>
    </row>
    <row r="2" spans="1:3" x14ac:dyDescent="0.25">
      <c r="A2" s="107"/>
    </row>
    <row r="3" spans="1:3" hidden="1" x14ac:dyDescent="0.25">
      <c r="A3" s="107" t="s">
        <v>331</v>
      </c>
      <c r="B3" s="25" t="s">
        <v>332</v>
      </c>
      <c r="C3" s="109" t="s">
        <v>392</v>
      </c>
    </row>
    <row r="4" spans="1:3" x14ac:dyDescent="0.25">
      <c r="A4" s="107"/>
    </row>
    <row r="5" spans="1:3" x14ac:dyDescent="0.25">
      <c r="A5" s="107" t="s">
        <v>333</v>
      </c>
      <c r="B5" s="25" t="s">
        <v>332</v>
      </c>
      <c r="C5" s="108" t="s">
        <v>538</v>
      </c>
    </row>
    <row r="6" spans="1:3" x14ac:dyDescent="0.25">
      <c r="A6" s="107"/>
    </row>
    <row r="7" spans="1:3" ht="55.9" customHeight="1" x14ac:dyDescent="0.25">
      <c r="A7" s="107" t="s">
        <v>334</v>
      </c>
      <c r="B7" s="25" t="s">
        <v>332</v>
      </c>
      <c r="C7" s="108" t="str">
        <f>'Annexure A'!C3</f>
        <v>Construction of High Level Bridge across Cauvery river ar km 315/6-316/2 of Chennai- Trichy-Dindugal road (SHU-9) in between Trichy and Srirangam</v>
      </c>
    </row>
    <row r="8" spans="1:3" hidden="1" x14ac:dyDescent="0.25">
      <c r="A8" s="107" t="s">
        <v>335</v>
      </c>
      <c r="B8" s="25" t="s">
        <v>332</v>
      </c>
      <c r="C8" s="118" t="s">
        <v>336</v>
      </c>
    </row>
    <row r="9" spans="1:3" hidden="1" x14ac:dyDescent="0.25">
      <c r="A9" s="107" t="s">
        <v>337</v>
      </c>
      <c r="B9" s="25" t="s">
        <v>332</v>
      </c>
      <c r="C9" s="108" t="s">
        <v>362</v>
      </c>
    </row>
    <row r="10" spans="1:3" x14ac:dyDescent="0.25">
      <c r="A10" s="107"/>
    </row>
    <row r="11" spans="1:3" x14ac:dyDescent="0.25">
      <c r="A11" s="107" t="s">
        <v>350</v>
      </c>
      <c r="B11" s="25" t="s">
        <v>332</v>
      </c>
      <c r="C11" s="108" t="s">
        <v>539</v>
      </c>
    </row>
    <row r="12" spans="1:3" hidden="1" x14ac:dyDescent="0.25">
      <c r="A12" s="107" t="s">
        <v>338</v>
      </c>
      <c r="B12" s="25" t="s">
        <v>332</v>
      </c>
      <c r="C12" s="118" t="s">
        <v>339</v>
      </c>
    </row>
    <row r="13" spans="1:3" x14ac:dyDescent="0.25">
      <c r="A13" s="107"/>
    </row>
    <row r="14" spans="1:3" x14ac:dyDescent="0.25">
      <c r="A14" s="107" t="s">
        <v>340</v>
      </c>
      <c r="B14" s="25" t="s">
        <v>332</v>
      </c>
      <c r="C14" s="108" t="s">
        <v>341</v>
      </c>
    </row>
    <row r="15" spans="1:3" x14ac:dyDescent="0.25">
      <c r="A15" s="107"/>
    </row>
    <row r="16" spans="1:3" hidden="1" x14ac:dyDescent="0.25">
      <c r="A16" s="107" t="s">
        <v>342</v>
      </c>
      <c r="B16" s="25" t="s">
        <v>332</v>
      </c>
      <c r="C16" s="108" t="str">
        <f>'Annexure A'!D5</f>
        <v xml:space="preserve">Near A1 side </v>
      </c>
    </row>
    <row r="17" spans="1:3" hidden="1" x14ac:dyDescent="0.25">
      <c r="A17" s="107" t="s">
        <v>343</v>
      </c>
      <c r="B17" s="25" t="s">
        <v>332</v>
      </c>
      <c r="C17" s="119">
        <f>'Annexure A'!D8</f>
        <v>315.62200000000001</v>
      </c>
    </row>
    <row r="18" spans="1:3" x14ac:dyDescent="0.25">
      <c r="A18" s="107" t="s">
        <v>344</v>
      </c>
      <c r="B18" s="25" t="s">
        <v>332</v>
      </c>
      <c r="C18" s="119">
        <f>'Annexure A'!D22</f>
        <v>1.2</v>
      </c>
    </row>
    <row r="19" spans="1:3" hidden="1" x14ac:dyDescent="0.25">
      <c r="A19" s="107" t="s">
        <v>345</v>
      </c>
      <c r="B19" s="25" t="s">
        <v>332</v>
      </c>
      <c r="C19" s="119">
        <f>'Annexure A'!D11-'Annexure A'!D17</f>
        <v>20.58</v>
      </c>
    </row>
    <row r="20" spans="1:3" x14ac:dyDescent="0.25">
      <c r="A20" s="107"/>
    </row>
    <row r="21" spans="1:3" hidden="1" x14ac:dyDescent="0.25">
      <c r="A21" s="107" t="s">
        <v>346</v>
      </c>
      <c r="B21" s="25" t="s">
        <v>332</v>
      </c>
      <c r="C21" s="110">
        <f>'Annexure A'!D24</f>
        <v>3090</v>
      </c>
    </row>
    <row r="22" spans="1:3" x14ac:dyDescent="0.25">
      <c r="A22" s="107" t="s">
        <v>137</v>
      </c>
      <c r="B22" s="25" t="s">
        <v>332</v>
      </c>
      <c r="C22" s="111">
        <f>C21</f>
        <v>3090</v>
      </c>
    </row>
    <row r="23" spans="1:3" x14ac:dyDescent="0.25">
      <c r="A23" s="107"/>
      <c r="C23" s="108" t="s">
        <v>347</v>
      </c>
    </row>
    <row r="24" spans="1:3" x14ac:dyDescent="0.25">
      <c r="A24" s="107"/>
      <c r="C24" s="120">
        <f>'Load calculation'!D6</f>
        <v>315</v>
      </c>
    </row>
    <row r="25" spans="1:3" hidden="1" x14ac:dyDescent="0.25">
      <c r="A25" s="107" t="s">
        <v>348</v>
      </c>
      <c r="B25" s="25" t="s">
        <v>332</v>
      </c>
      <c r="C25" s="121">
        <f>'Load calculation'!D17</f>
        <v>24.141999999999999</v>
      </c>
    </row>
    <row r="26" spans="1:3" hidden="1" x14ac:dyDescent="0.25">
      <c r="A26" s="107"/>
      <c r="C26" s="112"/>
    </row>
    <row r="27" spans="1:3" hidden="1" x14ac:dyDescent="0.25">
      <c r="A27" s="107" t="s">
        <v>156</v>
      </c>
      <c r="B27" s="25" t="s">
        <v>332</v>
      </c>
      <c r="C27" s="120">
        <f>'Load calculation'!D19</f>
        <v>339.142</v>
      </c>
    </row>
    <row r="28" spans="1:3" hidden="1" x14ac:dyDescent="0.25">
      <c r="A28" s="107"/>
      <c r="C28" s="109"/>
    </row>
    <row r="29" spans="1:3" hidden="1" x14ac:dyDescent="0.25">
      <c r="A29" s="107" t="s">
        <v>157</v>
      </c>
      <c r="B29" s="25" t="s">
        <v>332</v>
      </c>
      <c r="C29" s="120">
        <f>'Load calculation'!D23</f>
        <v>847.85500000000002</v>
      </c>
    </row>
    <row r="30" spans="1:3" ht="31.5" hidden="1" x14ac:dyDescent="0.25">
      <c r="A30" s="107" t="s">
        <v>349</v>
      </c>
      <c r="B30" s="25" t="s">
        <v>332</v>
      </c>
      <c r="C30" s="121">
        <f>'Load calculation'!D25</f>
        <v>1059.819</v>
      </c>
    </row>
    <row r="32" spans="1:3" x14ac:dyDescent="0.25">
      <c r="A32" s="107" t="s">
        <v>453</v>
      </c>
      <c r="B32" s="25" t="s">
        <v>332</v>
      </c>
      <c r="C32" s="108" t="s">
        <v>454</v>
      </c>
    </row>
    <row r="33" spans="1:3" hidden="1" x14ac:dyDescent="0.25">
      <c r="A33" s="107"/>
    </row>
    <row r="34" spans="1:3" x14ac:dyDescent="0.25">
      <c r="A34" s="107"/>
      <c r="C34" s="108" t="s">
        <v>540</v>
      </c>
    </row>
    <row r="35" spans="1:3" x14ac:dyDescent="0.25">
      <c r="A35" s="107"/>
      <c r="C35" s="108" t="s">
        <v>541</v>
      </c>
    </row>
    <row r="36" spans="1:3" x14ac:dyDescent="0.25">
      <c r="A36" s="107"/>
    </row>
    <row r="37" spans="1:3" x14ac:dyDescent="0.25">
      <c r="A37" s="107"/>
    </row>
    <row r="38" spans="1:3" x14ac:dyDescent="0.25">
      <c r="A38" s="107"/>
    </row>
    <row r="39" spans="1:3" x14ac:dyDescent="0.25">
      <c r="A39" s="107"/>
    </row>
  </sheetData>
  <mergeCells count="1">
    <mergeCell ref="A1:C1"/>
  </mergeCells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H71"/>
  <sheetViews>
    <sheetView zoomScale="120" zoomScaleNormal="120" workbookViewId="0">
      <selection activeCell="U7" sqref="U7"/>
    </sheetView>
  </sheetViews>
  <sheetFormatPr defaultColWidth="8.85546875" defaultRowHeight="15.75" x14ac:dyDescent="0.25"/>
  <cols>
    <col min="1" max="3" width="5" style="21" customWidth="1"/>
    <col min="4" max="4" width="8.140625" style="21" customWidth="1"/>
    <col min="5" max="6" width="6.7109375" style="21" customWidth="1"/>
    <col min="7" max="7" width="4.28515625" style="21" customWidth="1"/>
    <col min="8" max="9" width="5" style="21" customWidth="1"/>
    <col min="10" max="10" width="5.85546875" style="21" customWidth="1"/>
    <col min="11" max="15" width="5" style="21" customWidth="1"/>
    <col min="16" max="16" width="7.140625" style="21" customWidth="1"/>
    <col min="17" max="20" width="5.42578125" style="21" customWidth="1"/>
    <col min="21" max="16384" width="8.85546875" style="21"/>
  </cols>
  <sheetData>
    <row r="1" spans="1:22" ht="75" customHeight="1" x14ac:dyDescent="0.25">
      <c r="A1" s="451" t="s">
        <v>319</v>
      </c>
      <c r="B1" s="451"/>
      <c r="C1" s="451"/>
      <c r="D1" s="451"/>
      <c r="E1" s="451"/>
      <c r="F1" s="451"/>
      <c r="G1" s="451"/>
      <c r="H1" s="451"/>
      <c r="I1" s="451"/>
      <c r="J1" s="451"/>
      <c r="K1" s="451"/>
      <c r="L1" s="451"/>
      <c r="M1" s="451"/>
      <c r="N1" s="451"/>
      <c r="O1" s="81"/>
      <c r="P1" s="81"/>
      <c r="Q1" s="20"/>
      <c r="R1" s="20"/>
      <c r="S1" s="20"/>
      <c r="T1" s="20"/>
    </row>
    <row r="2" spans="1:22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spans="1:22" ht="42" customHeight="1" x14ac:dyDescent="0.25">
      <c r="A3" s="452" t="s">
        <v>119</v>
      </c>
      <c r="B3" s="452"/>
      <c r="C3" s="452"/>
      <c r="D3" s="452"/>
      <c r="E3" s="453" t="str">
        <f>'Annexure A'!C3</f>
        <v>Construction of High Level Bridge across Cauvery river ar km 315/6-316/2 of Chennai- Trichy-Dindugal road (SHU-9) in between Trichy and Srirangam</v>
      </c>
      <c r="F3" s="453"/>
      <c r="G3" s="453"/>
      <c r="H3" s="453"/>
      <c r="I3" s="453"/>
      <c r="J3" s="453"/>
      <c r="K3" s="453"/>
      <c r="L3" s="453"/>
      <c r="M3" s="453"/>
      <c r="N3" s="453"/>
      <c r="O3" s="79"/>
      <c r="P3" s="79"/>
      <c r="Q3" s="19"/>
      <c r="R3" s="19"/>
      <c r="S3" s="19"/>
      <c r="T3" s="19"/>
    </row>
    <row r="4" spans="1:22" ht="7.9" customHeight="1" x14ac:dyDescent="0.25">
      <c r="A4" s="454"/>
      <c r="B4" s="454"/>
      <c r="C4" s="454"/>
      <c r="D4" s="454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19"/>
      <c r="R4" s="19"/>
      <c r="S4" s="19"/>
      <c r="T4" s="19"/>
    </row>
    <row r="5" spans="1:22" ht="33" customHeight="1" x14ac:dyDescent="0.25">
      <c r="A5" s="634" t="s">
        <v>101</v>
      </c>
      <c r="B5" s="634"/>
      <c r="C5" s="634"/>
      <c r="D5" s="634"/>
      <c r="E5" s="453" t="str">
        <f>'Annexure A'!D5</f>
        <v xml:space="preserve">Near A1 side </v>
      </c>
      <c r="F5" s="453"/>
      <c r="G5" s="453"/>
      <c r="H5" s="453"/>
      <c r="I5" s="453"/>
      <c r="J5" s="453"/>
      <c r="K5" s="453"/>
      <c r="L5" s="453"/>
      <c r="M5" s="453"/>
      <c r="N5" s="453"/>
      <c r="O5" s="79"/>
      <c r="P5" s="79"/>
      <c r="Q5" s="19"/>
      <c r="R5" s="19"/>
      <c r="S5" s="19"/>
      <c r="T5" s="19"/>
    </row>
    <row r="6" spans="1:22" x14ac:dyDescent="0.25">
      <c r="A6" s="454" t="s">
        <v>102</v>
      </c>
      <c r="B6" s="454"/>
      <c r="C6" s="454"/>
      <c r="D6" s="454"/>
      <c r="E6" s="455">
        <f>'Annexure A'!D8</f>
        <v>315.62200000000001</v>
      </c>
      <c r="F6" s="455"/>
      <c r="G6" s="455"/>
      <c r="H6" s="455"/>
      <c r="I6" s="455"/>
      <c r="J6" s="455"/>
      <c r="K6" s="455"/>
      <c r="L6" s="455"/>
      <c r="M6" s="455"/>
      <c r="N6" s="455"/>
      <c r="O6" s="80"/>
      <c r="P6" s="80"/>
      <c r="Q6" s="22"/>
      <c r="R6" s="22"/>
      <c r="S6" s="22"/>
      <c r="T6" s="22"/>
    </row>
    <row r="8" spans="1:22" ht="6" customHeight="1" thickBot="1" x14ac:dyDescent="0.3">
      <c r="B8" s="447"/>
      <c r="C8" s="447"/>
      <c r="D8" s="27"/>
      <c r="E8" s="456"/>
      <c r="F8" s="456"/>
      <c r="G8" s="456"/>
      <c r="H8" s="456"/>
      <c r="J8" s="28"/>
      <c r="K8" s="78"/>
      <c r="L8" s="78"/>
      <c r="M8" s="78"/>
      <c r="N8" s="78"/>
      <c r="O8" s="78"/>
      <c r="P8" s="78"/>
      <c r="Q8" s="78"/>
      <c r="R8" s="78"/>
      <c r="S8" s="78"/>
      <c r="T8" s="78"/>
    </row>
    <row r="9" spans="1:22" ht="13.9" customHeight="1" x14ac:dyDescent="0.25">
      <c r="B9" s="447" t="s">
        <v>104</v>
      </c>
      <c r="C9" s="447"/>
      <c r="D9" s="27">
        <f>'Annexure A'!D11:G11</f>
        <v>67.58</v>
      </c>
      <c r="E9" s="448"/>
      <c r="F9" s="449"/>
      <c r="G9" s="449"/>
      <c r="H9" s="450"/>
      <c r="I9" s="26"/>
      <c r="J9" s="632"/>
    </row>
    <row r="10" spans="1:22" ht="13.9" customHeight="1" x14ac:dyDescent="0.25">
      <c r="B10" s="447"/>
      <c r="C10" s="447"/>
      <c r="D10" s="27"/>
      <c r="E10" s="635"/>
      <c r="F10" s="636"/>
      <c r="G10" s="636"/>
      <c r="H10" s="637"/>
      <c r="I10" s="26"/>
      <c r="J10" s="632"/>
    </row>
    <row r="11" spans="1:22" ht="19.149999999999999" customHeight="1" x14ac:dyDescent="0.25">
      <c r="B11" s="447" t="s">
        <v>105</v>
      </c>
      <c r="C11" s="447"/>
      <c r="D11" s="27">
        <f>'Annexure A'!D9:G9</f>
        <v>67.47</v>
      </c>
      <c r="E11" s="626" t="s">
        <v>330</v>
      </c>
      <c r="F11" s="627"/>
      <c r="G11" s="627"/>
      <c r="H11" s="628"/>
      <c r="I11" s="26"/>
      <c r="J11" s="632"/>
      <c r="K11" s="625"/>
      <c r="L11" s="24"/>
      <c r="M11" s="23"/>
      <c r="N11" s="23"/>
      <c r="O11" s="23"/>
      <c r="P11" s="23"/>
      <c r="Q11" s="23"/>
      <c r="R11" s="23"/>
      <c r="S11" s="23"/>
      <c r="T11" s="23"/>
      <c r="U11" s="24"/>
      <c r="V11" s="25"/>
    </row>
    <row r="12" spans="1:22" ht="26.45" customHeight="1" x14ac:dyDescent="0.25">
      <c r="B12" s="447" t="s">
        <v>318</v>
      </c>
      <c r="C12" s="447"/>
      <c r="D12" s="27">
        <f>'Annexure A'!D13:G13</f>
        <v>65.8</v>
      </c>
      <c r="E12" s="626"/>
      <c r="F12" s="627"/>
      <c r="G12" s="627"/>
      <c r="H12" s="628"/>
      <c r="I12" s="105"/>
      <c r="J12" s="632"/>
      <c r="K12" s="625"/>
      <c r="L12" s="24"/>
      <c r="M12" s="23"/>
      <c r="N12" s="23"/>
      <c r="O12" s="23"/>
      <c r="P12" s="23"/>
      <c r="Q12" s="23"/>
      <c r="R12" s="23"/>
      <c r="S12" s="23"/>
      <c r="T12" s="23"/>
      <c r="U12" s="24"/>
      <c r="V12" s="25"/>
    </row>
    <row r="13" spans="1:22" ht="15" customHeight="1" x14ac:dyDescent="0.25">
      <c r="B13" s="447" t="s">
        <v>317</v>
      </c>
      <c r="C13" s="447"/>
      <c r="D13" s="27">
        <f>'Annexure A'!D12</f>
        <v>64.08</v>
      </c>
      <c r="E13" s="626"/>
      <c r="F13" s="627"/>
      <c r="G13" s="627"/>
      <c r="H13" s="628"/>
      <c r="I13" s="105"/>
      <c r="J13" s="632"/>
      <c r="L13" s="171"/>
      <c r="M13" s="447"/>
      <c r="N13" s="447"/>
      <c r="O13" s="23"/>
      <c r="P13" s="23"/>
      <c r="Q13" s="23"/>
      <c r="R13" s="23"/>
      <c r="S13" s="23"/>
      <c r="T13" s="23"/>
      <c r="U13" s="24"/>
      <c r="V13" s="25"/>
    </row>
    <row r="14" spans="1:22" ht="11.45" customHeight="1" x14ac:dyDescent="0.25">
      <c r="A14" s="633" t="s">
        <v>388</v>
      </c>
      <c r="B14" s="633"/>
      <c r="C14" s="633"/>
      <c r="D14" s="185">
        <f>'Annexure A'!D14</f>
        <v>62.524999999999999</v>
      </c>
      <c r="E14" s="626"/>
      <c r="F14" s="627"/>
      <c r="G14" s="627"/>
      <c r="H14" s="628"/>
      <c r="I14" s="77"/>
      <c r="J14" s="632"/>
      <c r="L14" s="24"/>
      <c r="M14" s="23"/>
      <c r="N14" s="23"/>
      <c r="O14" s="23"/>
      <c r="P14" s="23"/>
      <c r="Q14" s="23"/>
      <c r="R14" s="23"/>
      <c r="S14" s="23"/>
      <c r="T14" s="23"/>
      <c r="U14" s="24"/>
      <c r="V14" s="25"/>
    </row>
    <row r="15" spans="1:22" ht="24.6" customHeight="1" x14ac:dyDescent="0.25">
      <c r="B15" s="447" t="s">
        <v>116</v>
      </c>
      <c r="C15" s="447"/>
      <c r="D15" s="27">
        <f>'Annexure A'!D10</f>
        <v>65.97</v>
      </c>
      <c r="E15" s="626"/>
      <c r="F15" s="627"/>
      <c r="G15" s="627"/>
      <c r="H15" s="628"/>
      <c r="I15" s="77"/>
      <c r="J15" s="632"/>
      <c r="L15" s="24"/>
      <c r="M15" s="49"/>
      <c r="N15" s="49"/>
      <c r="O15" s="49"/>
      <c r="P15" s="49"/>
      <c r="Q15" s="49"/>
      <c r="R15" s="49"/>
      <c r="S15" s="49"/>
      <c r="T15" s="49"/>
      <c r="U15" s="24"/>
      <c r="V15" s="25"/>
    </row>
    <row r="16" spans="1:22" ht="24.6" customHeight="1" x14ac:dyDescent="0.25">
      <c r="B16" s="176"/>
      <c r="C16" s="176"/>
      <c r="D16" s="27"/>
      <c r="E16" s="626"/>
      <c r="F16" s="627"/>
      <c r="G16" s="627"/>
      <c r="H16" s="628"/>
      <c r="I16" s="77"/>
      <c r="J16" s="632"/>
      <c r="L16" s="24"/>
      <c r="M16" s="49"/>
      <c r="N16" s="49"/>
      <c r="O16" s="49"/>
      <c r="P16" s="49"/>
      <c r="Q16" s="49"/>
      <c r="R16" s="49"/>
      <c r="S16" s="49"/>
      <c r="T16" s="49"/>
      <c r="U16" s="24"/>
      <c r="V16" s="25"/>
    </row>
    <row r="17" spans="1:34" ht="24.6" customHeight="1" x14ac:dyDescent="0.25">
      <c r="B17" s="553" t="s">
        <v>530</v>
      </c>
      <c r="C17" s="553"/>
      <c r="D17" s="27">
        <v>62.524999999999999</v>
      </c>
      <c r="E17" s="626"/>
      <c r="F17" s="627"/>
      <c r="G17" s="627"/>
      <c r="H17" s="628"/>
      <c r="I17" s="77"/>
      <c r="J17" s="632"/>
      <c r="L17" s="24"/>
      <c r="M17" s="49"/>
      <c r="N17" s="49"/>
      <c r="O17" s="49"/>
      <c r="P17" s="49"/>
      <c r="Q17" s="49"/>
      <c r="R17" s="49"/>
      <c r="S17" s="49"/>
      <c r="T17" s="49"/>
      <c r="U17" s="24"/>
      <c r="V17" s="25"/>
    </row>
    <row r="18" spans="1:34" ht="30" customHeight="1" thickBot="1" x14ac:dyDescent="0.3">
      <c r="B18" s="447"/>
      <c r="C18" s="447"/>
      <c r="D18" s="27"/>
      <c r="E18" s="629"/>
      <c r="F18" s="630"/>
      <c r="G18" s="630"/>
      <c r="H18" s="631"/>
      <c r="I18" s="77"/>
      <c r="J18" s="632"/>
      <c r="L18" s="24"/>
      <c r="M18" s="49"/>
      <c r="N18" s="49"/>
      <c r="O18" s="49"/>
      <c r="P18" s="49"/>
      <c r="Q18" s="49"/>
      <c r="R18" s="49"/>
      <c r="S18" s="49"/>
      <c r="T18" s="49"/>
      <c r="U18" s="24"/>
      <c r="V18" s="25"/>
    </row>
    <row r="19" spans="1:34" ht="12" customHeight="1" x14ac:dyDescent="0.25">
      <c r="B19" s="447" t="s">
        <v>395</v>
      </c>
      <c r="C19" s="447"/>
      <c r="D19" s="27">
        <f>'Annexure A'!D17:G17</f>
        <v>47</v>
      </c>
      <c r="E19" s="471">
        <f>'Annexure A'!D22</f>
        <v>1.2</v>
      </c>
      <c r="F19" s="471"/>
      <c r="G19" s="471"/>
      <c r="H19" s="471"/>
      <c r="Q19" s="21">
        <f>AG19</f>
        <v>0</v>
      </c>
      <c r="AA19" s="127">
        <f>F19</f>
        <v>0</v>
      </c>
      <c r="AE19" s="21">
        <v>0</v>
      </c>
      <c r="AF19" s="21">
        <f>0.5*AH19*AB19</f>
        <v>0</v>
      </c>
      <c r="AH19" s="129">
        <f>AA19*AC19</f>
        <v>0</v>
      </c>
    </row>
    <row r="20" spans="1:34" x14ac:dyDescent="0.25">
      <c r="Q20" s="21">
        <f t="shared" ref="Q20:Q21" si="0">AG20</f>
        <v>0</v>
      </c>
      <c r="AE20" s="21">
        <f>AH19*AB20</f>
        <v>0</v>
      </c>
      <c r="AF20" s="21">
        <f>-(AH20-AH19)*AB20/2</f>
        <v>0</v>
      </c>
      <c r="AH20" s="129">
        <f>AA20*AC20</f>
        <v>0</v>
      </c>
    </row>
    <row r="21" spans="1:34" x14ac:dyDescent="0.25">
      <c r="Q21" s="21">
        <f t="shared" si="0"/>
        <v>0</v>
      </c>
      <c r="AE21" s="21">
        <f>AH20*AB21</f>
        <v>0</v>
      </c>
      <c r="AF21" s="21">
        <f>(AH21-AH20)*AB21/2</f>
        <v>0</v>
      </c>
      <c r="AH21" s="129">
        <f>AA21*AC21</f>
        <v>0</v>
      </c>
    </row>
    <row r="23" spans="1:34" ht="15.6" customHeight="1" x14ac:dyDescent="0.25"/>
    <row r="24" spans="1:34" ht="15.6" customHeight="1" x14ac:dyDescent="0.25">
      <c r="A24" s="594"/>
      <c r="B24" s="594"/>
      <c r="C24" s="594"/>
      <c r="D24" s="594"/>
      <c r="E24" s="594"/>
      <c r="F24" s="207"/>
      <c r="G24" s="207"/>
      <c r="H24" s="207"/>
      <c r="I24" s="207"/>
      <c r="J24" s="207"/>
      <c r="K24" s="594"/>
      <c r="L24" s="594"/>
      <c r="M24" s="594"/>
      <c r="N24" s="594"/>
      <c r="O24" s="207"/>
    </row>
    <row r="25" spans="1:34" ht="15.6" customHeight="1" x14ac:dyDescent="0.25">
      <c r="A25" s="594"/>
      <c r="B25" s="594"/>
      <c r="C25" s="594"/>
      <c r="D25" s="594"/>
      <c r="E25" s="594"/>
      <c r="F25" s="207"/>
      <c r="G25" s="207"/>
      <c r="H25" s="207"/>
      <c r="I25" s="207"/>
      <c r="J25" s="207"/>
      <c r="K25" s="207"/>
      <c r="L25" s="594"/>
      <c r="M25" s="594"/>
      <c r="N25" s="594"/>
      <c r="O25" s="207"/>
    </row>
    <row r="26" spans="1:34" ht="15.6" customHeight="1" x14ac:dyDescent="0.25">
      <c r="A26" s="594"/>
      <c r="B26" s="594"/>
      <c r="C26" s="594"/>
      <c r="D26" s="594"/>
      <c r="E26" s="594"/>
      <c r="F26" s="207"/>
      <c r="G26" s="207"/>
      <c r="H26" s="207"/>
      <c r="I26" s="207"/>
      <c r="J26" s="207"/>
      <c r="K26" s="207"/>
      <c r="L26" s="594"/>
      <c r="M26" s="594"/>
      <c r="N26" s="594"/>
      <c r="O26" s="207"/>
    </row>
    <row r="27" spans="1:34" ht="15.6" customHeight="1" x14ac:dyDescent="0.25">
      <c r="B27" s="208"/>
      <c r="C27" s="208"/>
      <c r="D27" s="208"/>
      <c r="E27" s="208"/>
      <c r="F27" s="638"/>
      <c r="G27" s="638"/>
      <c r="H27" s="638"/>
      <c r="I27" s="638"/>
      <c r="J27" s="638"/>
      <c r="K27" s="208"/>
      <c r="L27" s="208"/>
      <c r="M27" s="208"/>
      <c r="N27" s="208"/>
    </row>
    <row r="28" spans="1:34" ht="15.6" customHeight="1" x14ac:dyDescent="0.25">
      <c r="B28" s="208"/>
      <c r="C28" s="208"/>
      <c r="D28" s="208"/>
      <c r="E28" s="208"/>
      <c r="F28" s="638"/>
      <c r="G28" s="638"/>
      <c r="H28" s="638"/>
      <c r="I28" s="638"/>
      <c r="J28" s="638"/>
      <c r="K28" s="208"/>
      <c r="L28" s="208"/>
      <c r="M28" s="208"/>
      <c r="N28" s="208"/>
    </row>
    <row r="29" spans="1:34" ht="15.6" customHeight="1" x14ac:dyDescent="0.25">
      <c r="B29" s="208"/>
      <c r="C29" s="208"/>
      <c r="D29" s="208"/>
      <c r="E29" s="208"/>
      <c r="F29" s="638"/>
      <c r="G29" s="638"/>
      <c r="H29" s="638"/>
      <c r="I29" s="638"/>
      <c r="J29" s="638"/>
      <c r="K29" s="208"/>
      <c r="L29" s="208"/>
      <c r="M29" s="208"/>
      <c r="N29" s="208"/>
    </row>
    <row r="55" spans="6:6" ht="63" x14ac:dyDescent="0.25">
      <c r="F55" s="21" t="s">
        <v>351</v>
      </c>
    </row>
    <row r="56" spans="6:6" ht="31.5" x14ac:dyDescent="0.25">
      <c r="F56" s="21" t="s">
        <v>352</v>
      </c>
    </row>
    <row r="58" spans="6:6" ht="40.15" customHeight="1" x14ac:dyDescent="0.25"/>
    <row r="61" spans="6:6" ht="28.9" customHeight="1" x14ac:dyDescent="0.25"/>
    <row r="71" spans="4:4" ht="37.15" customHeight="1" x14ac:dyDescent="0.25">
      <c r="D71" s="21" t="s">
        <v>353</v>
      </c>
    </row>
  </sheetData>
  <mergeCells count="35">
    <mergeCell ref="F29:J29"/>
    <mergeCell ref="F28:J28"/>
    <mergeCell ref="F27:J27"/>
    <mergeCell ref="K24:N24"/>
    <mergeCell ref="A26:E26"/>
    <mergeCell ref="A25:E25"/>
    <mergeCell ref="A24:E24"/>
    <mergeCell ref="L25:N25"/>
    <mergeCell ref="L26:N26"/>
    <mergeCell ref="A6:D6"/>
    <mergeCell ref="B8:C8"/>
    <mergeCell ref="E8:H8"/>
    <mergeCell ref="B9:C9"/>
    <mergeCell ref="E6:N6"/>
    <mergeCell ref="E9:H10"/>
    <mergeCell ref="B10:C10"/>
    <mergeCell ref="A1:N1"/>
    <mergeCell ref="A3:D3"/>
    <mergeCell ref="A4:D4"/>
    <mergeCell ref="A5:D5"/>
    <mergeCell ref="E3:N3"/>
    <mergeCell ref="E5:N5"/>
    <mergeCell ref="M13:N13"/>
    <mergeCell ref="B19:C19"/>
    <mergeCell ref="E19:H19"/>
    <mergeCell ref="K11:K12"/>
    <mergeCell ref="E11:H18"/>
    <mergeCell ref="B13:C13"/>
    <mergeCell ref="B11:C11"/>
    <mergeCell ref="B18:C18"/>
    <mergeCell ref="J9:J18"/>
    <mergeCell ref="B15:C15"/>
    <mergeCell ref="B12:C12"/>
    <mergeCell ref="A14:C14"/>
    <mergeCell ref="B17:C17"/>
  </mergeCells>
  <pageMargins left="1.2" right="0.7" top="0.75" bottom="0.75" header="0.3" footer="0.3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11</vt:i4>
      </vt:variant>
    </vt:vector>
  </HeadingPairs>
  <TitlesOfParts>
    <vt:vector size="24" baseType="lpstr">
      <vt:lpstr>Annexure A</vt:lpstr>
      <vt:lpstr>Skin Friction-Sand</vt:lpstr>
      <vt:lpstr>Load calculation</vt:lpstr>
      <vt:lpstr>Unit weight MSand</vt:lpstr>
      <vt:lpstr>Skin Friction</vt:lpstr>
      <vt:lpstr>Skin Friction-Sand with SDR</vt:lpstr>
      <vt:lpstr>Cross Beam</vt:lpstr>
      <vt:lpstr>Main Beam-Section ISHB 900</vt:lpstr>
      <vt:lpstr>Main Beam</vt:lpstr>
      <vt:lpstr>Kentledge </vt:lpstr>
      <vt:lpstr>Pile location</vt:lpstr>
      <vt:lpstr>Details</vt:lpstr>
      <vt:lpstr>Pile driven</vt:lpstr>
      <vt:lpstr>'Annexure A'!Print_Area</vt:lpstr>
      <vt:lpstr>'Cross Beam'!Print_Area</vt:lpstr>
      <vt:lpstr>'Kentledge '!Print_Area</vt:lpstr>
      <vt:lpstr>'Load calculation'!Print_Area</vt:lpstr>
      <vt:lpstr>'Main Beam'!Print_Area</vt:lpstr>
      <vt:lpstr>'Main Beam-Section ISHB 900'!Print_Area</vt:lpstr>
      <vt:lpstr>'Pile driven'!Print_Area</vt:lpstr>
      <vt:lpstr>'Pile location'!Print_Area</vt:lpstr>
      <vt:lpstr>'Skin Friction'!Print_Area</vt:lpstr>
      <vt:lpstr>'Skin Friction-Sand'!Print_Area</vt:lpstr>
      <vt:lpstr>'Skin Friction-Sand with SDR'!Print_Area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kathya Sridharan</dc:creator>
  <cp:lastModifiedBy>ADMIN</cp:lastModifiedBy>
  <cp:lastPrinted>2025-02-03T11:00:55Z</cp:lastPrinted>
  <dcterms:created xsi:type="dcterms:W3CDTF">2022-01-29T07:08:56Z</dcterms:created>
  <dcterms:modified xsi:type="dcterms:W3CDTF">2025-09-17T10:36:27Z</dcterms:modified>
</cp:coreProperties>
</file>